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tables/table3.xml" ContentType="application/vnd.openxmlformats-officedocument.spreadsheetml.table+xml"/>
  <Override PartName="/xl/comments2.xml" ContentType="application/vnd.openxmlformats-officedocument.spreadsheetml.comments+xml"/>
  <Override PartName="/xl/pivotTables/pivotTable1.xml" ContentType="application/vnd.openxmlformats-officedocument.spreadsheetml.pivotTable+xml"/>
  <Override PartName="/xl/drawings/drawing1.xml" ContentType="application/vnd.openxmlformats-officedocument.drawing+xml"/>
  <Override PartName="/xl/tables/table4.xml" ContentType="application/vnd.openxmlformats-officedocument.spreadsheetml.table+xml"/>
  <Override PartName="/xl/tables/table5.xml" ContentType="application/vnd.openxmlformats-officedocument.spreadsheetml.table+xml"/>
  <Override PartName="/xl/comments3.xml" ContentType="application/vnd.openxmlformats-officedocument.spreadsheetml.comments+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pivotTables/pivotTable3.xml" ContentType="application/vnd.openxmlformats-officedocument.spreadsheetml.pivotTab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omments4.xml" ContentType="application/vnd.openxmlformats-officedocument.spreadsheetml.comments+xml"/>
  <Override PartName="/xl/tables/table6.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Override PartName="/xl/threadedComments/threadedComment2.xml" ContentType="application/vnd.ms-excel.threadedcomments+xml"/>
  <Override PartName="/xl/threadedComments/threadedComment3.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backupFile="1" codeName="ThisWorkbook"/>
  <mc:AlternateContent xmlns:mc="http://schemas.openxmlformats.org/markup-compatibility/2006">
    <mc:Choice Requires="x15">
      <x15ac:absPath xmlns:x15ac="http://schemas.microsoft.com/office/spreadsheetml/2010/11/ac" url="G:\2025_10_27_CTA_Project\tool\importcsv\"/>
    </mc:Choice>
  </mc:AlternateContent>
  <bookViews>
    <workbookView xWindow="-120" yWindow="-120" windowWidth="29040" windowHeight="15720" tabRatio="767"/>
  </bookViews>
  <sheets>
    <sheet name="Agreements" sheetId="29" r:id="rId1"/>
    <sheet name="Partnerships - Referrals and Re" sheetId="33" r:id="rId2"/>
    <sheet name="Statements of Work" sheetId="30" r:id="rId3"/>
    <sheet name="MS Dev Renewals" sheetId="34" r:id="rId4"/>
    <sheet name="Settings &amp; Instructions" sheetId="11" r:id="rId5"/>
    <sheet name="Software | Licensing Agreements" sheetId="32" r:id="rId6"/>
    <sheet name="Contracts" sheetId="10" state="hidden" r:id="rId7"/>
    <sheet name="Audit 11.09" sheetId="28" state="hidden" r:id="rId8"/>
    <sheet name="SOWs" sheetId="23" state="hidden" r:id="rId9"/>
    <sheet name="Budgets" sheetId="26" state="hidden" r:id="rId10"/>
    <sheet name="Renewals" sheetId="27" state="hidden" r:id="rId11"/>
    <sheet name="Audit" sheetId="21" state="hidden" r:id="rId12"/>
    <sheet name="Contracts Insurance" sheetId="16" state="hidden" r:id="rId13"/>
    <sheet name="Insurance" sheetId="15" r:id="rId14"/>
    <sheet name="SOW Insurance Info" sheetId="20" state="hidden" r:id="rId15"/>
    <sheet name="Scrum Open Contracts" sheetId="13" state="hidden" r:id="rId16"/>
    <sheet name="Scrum Client List" sheetId="12" state="hidden" r:id="rId17"/>
    <sheet name="QB Consolidated Contacts" sheetId="9" state="hidden" r:id="rId18"/>
    <sheet name="VT Contracts" sheetId="8" state="hidden" r:id="rId19"/>
    <sheet name="VNA Contracts" sheetId="6" state="hidden" r:id="rId20"/>
    <sheet name="VT Contacts QB" sheetId="1" state="hidden" r:id="rId21"/>
    <sheet name="VNA Contacts QB" sheetId="2" state="hidden" r:id="rId22"/>
  </sheets>
  <definedNames>
    <definedName name="_xlnm._FilterDatabase" localSheetId="17" hidden="1">'QB Consolidated Contacts'!$A$1:$J$37</definedName>
    <definedName name="_xlnm._FilterDatabase" localSheetId="21" hidden="1">'VNA Contacts QB'!$A$5:$G$5</definedName>
    <definedName name="_xlnm._FilterDatabase" localSheetId="19" hidden="1">'VNA Contracts'!$A$2:$G$2</definedName>
    <definedName name="_xlnm._FilterDatabase" localSheetId="20" hidden="1">'VT Contacts QB'!$A$5:$G$5</definedName>
    <definedName name="_xlnm._FilterDatabase" localSheetId="18" hidden="1">'VT Contracts'!$A$1:$L$37</definedName>
    <definedName name="Slicer_Signed_Copy">#N/A</definedName>
    <definedName name="Slicer_Status">#N/A</definedName>
    <definedName name="Slicer_Work_Type">#N/A</definedName>
  </definedNames>
  <calcPr calcId="162913"/>
  <pivotCaches>
    <pivotCache cacheId="0" r:id="rId23"/>
    <pivotCache cacheId="8" r:id="rId24"/>
  </pivotCaches>
  <extLst>
    <ext xmlns:x14="http://schemas.microsoft.com/office/spreadsheetml/2009/9/main" uri="{BBE1A952-AA13-448e-AADC-164F8A28A991}">
      <x14:slicerCaches>
        <x14:slicerCache r:id="rId25"/>
        <x14:slicerCache r:id="rId26"/>
        <x14:slicerCache r:id="rId2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80" i="29" l="1"/>
  <c r="N80" i="29"/>
  <c r="O80" i="29" s="1"/>
  <c r="AK80" i="29" s="1"/>
  <c r="V154" i="30"/>
  <c r="J155" i="30"/>
  <c r="V155" i="30"/>
  <c r="W155" i="30"/>
  <c r="X155" i="30" s="1"/>
  <c r="V51" i="30"/>
  <c r="W51" i="30" s="1"/>
  <c r="V49" i="30"/>
  <c r="W49" i="30" s="1"/>
  <c r="V181" i="30" l="1"/>
  <c r="W181" i="30" s="1"/>
  <c r="X181" i="30" s="1"/>
  <c r="J181" i="30"/>
  <c r="V201" i="30" l="1"/>
  <c r="V200" i="30"/>
  <c r="J202" i="30"/>
  <c r="V202" i="30"/>
  <c r="W202" i="30"/>
  <c r="X202" i="30" s="1"/>
  <c r="J201" i="30"/>
  <c r="W201" i="30"/>
  <c r="X201" i="30" s="1"/>
  <c r="J200" i="30"/>
  <c r="W200" i="30"/>
  <c r="X200" i="30" s="1"/>
  <c r="V199" i="30"/>
  <c r="V195" i="30"/>
  <c r="V193" i="30"/>
  <c r="V189" i="30"/>
  <c r="V174" i="30"/>
  <c r="V173" i="30"/>
  <c r="V172" i="30"/>
  <c r="V166" i="30"/>
  <c r="V162" i="30"/>
  <c r="V152" i="30"/>
  <c r="V151" i="30"/>
  <c r="V150" i="30"/>
  <c r="V149" i="30"/>
  <c r="V135" i="30"/>
  <c r="C97" i="29"/>
  <c r="N97" i="29"/>
  <c r="O97" i="29" s="1"/>
  <c r="AK97" i="29" s="1"/>
  <c r="J151" i="30"/>
  <c r="W151" i="30"/>
  <c r="X151" i="30" s="1"/>
  <c r="C120" i="29"/>
  <c r="N120" i="29"/>
  <c r="O120" i="29" s="1"/>
  <c r="AK120" i="29" s="1"/>
  <c r="C119" i="29"/>
  <c r="N119" i="29"/>
  <c r="O119" i="29" s="1"/>
  <c r="AK119" i="29" s="1"/>
  <c r="C118" i="29"/>
  <c r="N118" i="29"/>
  <c r="O118" i="29" s="1"/>
  <c r="AK118" i="29" s="1"/>
  <c r="C117" i="29"/>
  <c r="N117" i="29"/>
  <c r="O117" i="29" s="1"/>
  <c r="AK117" i="29" s="1"/>
  <c r="C4" i="29"/>
  <c r="N4" i="29"/>
  <c r="O4" i="29" s="1"/>
  <c r="AK4" i="29" s="1"/>
  <c r="C77" i="29"/>
  <c r="N77" i="29"/>
  <c r="O77" i="29" s="1"/>
  <c r="AK77" i="29" s="1"/>
  <c r="J24" i="30"/>
  <c r="V24" i="30"/>
  <c r="W24" i="30"/>
  <c r="X24" i="30" s="1"/>
  <c r="N88" i="29"/>
  <c r="N96" i="29"/>
  <c r="N92" i="29"/>
  <c r="N95" i="29"/>
  <c r="N100" i="29"/>
  <c r="N101" i="29"/>
  <c r="N102" i="29"/>
  <c r="N103" i="29"/>
  <c r="N83" i="29"/>
  <c r="N84" i="29"/>
  <c r="N85" i="29"/>
  <c r="N86" i="29"/>
  <c r="N87" i="29"/>
  <c r="N3" i="29"/>
  <c r="N5" i="29"/>
  <c r="N7" i="29"/>
  <c r="N8" i="29"/>
  <c r="N89" i="29"/>
  <c r="J76" i="30"/>
  <c r="V76" i="30"/>
  <c r="W76" i="30"/>
  <c r="X76" i="30" s="1"/>
  <c r="J199" i="30"/>
  <c r="W199" i="30"/>
  <c r="X199" i="30" s="1"/>
  <c r="J3" i="30"/>
  <c r="V3" i="30"/>
  <c r="W3" i="30"/>
  <c r="X3" i="30" s="1"/>
  <c r="C93" i="29" l="1"/>
  <c r="N93" i="29"/>
  <c r="O93" i="29" s="1"/>
  <c r="AK93" i="29" s="1"/>
  <c r="C94" i="29"/>
  <c r="N94" i="29"/>
  <c r="O94" i="29" s="1"/>
  <c r="AK94" i="29" s="1"/>
  <c r="J16" i="30"/>
  <c r="V16" i="30"/>
  <c r="W16" i="30"/>
  <c r="X16" i="30" s="1"/>
  <c r="C98" i="29"/>
  <c r="N98" i="29"/>
  <c r="O98" i="29" s="1"/>
  <c r="AK98" i="29" s="1"/>
  <c r="J49" i="30"/>
  <c r="N113" i="29"/>
  <c r="O113" i="29" s="1"/>
  <c r="AK113" i="29" s="1"/>
  <c r="J195" i="30"/>
  <c r="W195" i="30"/>
  <c r="X195" i="30" s="1"/>
  <c r="C99" i="29"/>
  <c r="N99" i="29"/>
  <c r="O99" i="29" s="1"/>
  <c r="AK99" i="29" s="1"/>
  <c r="J51" i="30"/>
  <c r="N10" i="29"/>
  <c r="O10" i="29" s="1"/>
  <c r="AK10" i="29" s="1"/>
  <c r="J17" i="30"/>
  <c r="V17" i="30"/>
  <c r="W17" i="30"/>
  <c r="X17" i="30" s="1"/>
  <c r="C11" i="29"/>
  <c r="N11" i="29"/>
  <c r="O11" i="29" s="1"/>
  <c r="AK11" i="29" s="1"/>
  <c r="J152" i="30"/>
  <c r="W152" i="30"/>
  <c r="X152" i="30" s="1"/>
  <c r="J149" i="30"/>
  <c r="W149" i="30"/>
  <c r="X149" i="30" s="1"/>
  <c r="J11" i="30"/>
  <c r="V11" i="30"/>
  <c r="W11" i="30"/>
  <c r="X11" i="30" s="1"/>
  <c r="J14" i="30"/>
  <c r="V14" i="30"/>
  <c r="W14" i="30"/>
  <c r="X14" i="30" s="1"/>
  <c r="J31" i="30"/>
  <c r="V31" i="30"/>
  <c r="W31" i="30"/>
  <c r="X31" i="30" s="1"/>
  <c r="J32" i="30"/>
  <c r="V32" i="30"/>
  <c r="W32" i="30"/>
  <c r="X32" i="30" s="1"/>
  <c r="J126" i="30"/>
  <c r="V126" i="30"/>
  <c r="W126" i="30"/>
  <c r="X126" i="30" s="1"/>
  <c r="J172" i="30"/>
  <c r="W172" i="30"/>
  <c r="X172" i="30" s="1"/>
  <c r="J173" i="30"/>
  <c r="W173" i="30"/>
  <c r="X173" i="30" s="1"/>
  <c r="J33" i="30"/>
  <c r="V33" i="30"/>
  <c r="W33" i="30"/>
  <c r="X33" i="30" s="1"/>
  <c r="J18" i="30"/>
  <c r="V18" i="30"/>
  <c r="W18" i="30"/>
  <c r="X18" i="30" s="1"/>
  <c r="J15" i="30"/>
  <c r="V15" i="30"/>
  <c r="W15" i="30"/>
  <c r="X15" i="30" s="1"/>
  <c r="J13" i="30"/>
  <c r="V13" i="30"/>
  <c r="W13" i="30"/>
  <c r="X13" i="30" s="1"/>
  <c r="J166" i="30"/>
  <c r="W166" i="30"/>
  <c r="X166" i="30" s="1"/>
  <c r="J97" i="30"/>
  <c r="V97" i="30"/>
  <c r="W97" i="30"/>
  <c r="X97" i="30" s="1"/>
  <c r="J117" i="30"/>
  <c r="V117" i="30"/>
  <c r="W117" i="30"/>
  <c r="X117" i="30" s="1"/>
  <c r="J193" i="30"/>
  <c r="W193" i="30"/>
  <c r="X193" i="30" s="1"/>
  <c r="V103" i="30"/>
  <c r="W103" i="30" s="1"/>
  <c r="X103" i="30" s="1"/>
  <c r="J103" i="30"/>
  <c r="J34" i="30" l="1"/>
  <c r="V34" i="30"/>
  <c r="W34" i="30"/>
  <c r="X34" i="30" s="1"/>
  <c r="J37" i="30"/>
  <c r="V37" i="30"/>
  <c r="W37" i="30"/>
  <c r="X37" i="30" s="1"/>
  <c r="J35" i="30"/>
  <c r="V35" i="30"/>
  <c r="W35" i="30"/>
  <c r="X35" i="30" s="1"/>
  <c r="J39" i="30"/>
  <c r="V39" i="30"/>
  <c r="W39" i="30"/>
  <c r="X39" i="30" s="1"/>
  <c r="J28" i="30"/>
  <c r="V28" i="30"/>
  <c r="W28" i="30"/>
  <c r="X28" i="30" s="1"/>
  <c r="J29" i="30"/>
  <c r="V29" i="30"/>
  <c r="W29" i="30"/>
  <c r="X29" i="30" s="1"/>
  <c r="J22" i="30"/>
  <c r="V47" i="30"/>
  <c r="W47" i="30" s="1"/>
  <c r="X47" i="30" s="1"/>
  <c r="J189" i="30"/>
  <c r="W189" i="30"/>
  <c r="V22" i="30"/>
  <c r="W22" i="30"/>
  <c r="X22" i="30" s="1"/>
  <c r="J23" i="30"/>
  <c r="V23" i="30"/>
  <c r="W23" i="30"/>
  <c r="X23" i="30" s="1"/>
  <c r="X189" i="30" l="1"/>
  <c r="X49" i="30"/>
  <c r="J119" i="30"/>
  <c r="V119" i="30"/>
  <c r="W119" i="30"/>
  <c r="X119" i="30" s="1"/>
  <c r="J109" i="30"/>
  <c r="V109" i="30"/>
  <c r="W109" i="30"/>
  <c r="X109" i="30" s="1"/>
  <c r="J135" i="30"/>
  <c r="W135" i="30"/>
  <c r="X135" i="30" s="1"/>
  <c r="J54" i="30"/>
  <c r="V54" i="30"/>
  <c r="W54" i="30" s="1"/>
  <c r="X54" i="30" s="1"/>
  <c r="W162" i="30"/>
  <c r="X162" i="30" s="1"/>
  <c r="C9" i="29"/>
  <c r="V9" i="29"/>
  <c r="W9" i="29" l="1"/>
  <c r="X51" i="30"/>
  <c r="J41" i="30"/>
  <c r="V41" i="30"/>
  <c r="W41" i="30" s="1"/>
  <c r="X41" i="30" s="1"/>
  <c r="J40" i="30"/>
  <c r="V40" i="30"/>
  <c r="W40" i="30" s="1"/>
  <c r="X40" i="30" s="1"/>
  <c r="V95" i="30"/>
  <c r="W95" i="30" s="1"/>
  <c r="X95" i="30" s="1"/>
  <c r="J104" i="30"/>
  <c r="V104" i="30"/>
  <c r="W104" i="30" s="1"/>
  <c r="X104" i="30" s="1"/>
  <c r="J42" i="30" l="1"/>
  <c r="V42" i="30"/>
  <c r="W42" i="30" s="1"/>
  <c r="X42" i="30" s="1"/>
  <c r="V186" i="30"/>
  <c r="W186" i="30" s="1"/>
  <c r="X186" i="30" s="1"/>
  <c r="J88" i="30"/>
  <c r="V88" i="30"/>
  <c r="W88" i="30" s="1"/>
  <c r="X88" i="30" s="1"/>
  <c r="N21" i="29"/>
  <c r="V122" i="30" l="1"/>
  <c r="W122" i="30" s="1"/>
  <c r="X122" i="30" s="1"/>
  <c r="J122" i="30"/>
  <c r="J21" i="30"/>
  <c r="V21" i="30"/>
  <c r="W21" i="30" s="1"/>
  <c r="X21" i="30" s="1"/>
  <c r="V87" i="30"/>
  <c r="W87" i="30" s="1"/>
  <c r="X87" i="30" s="1"/>
  <c r="J129" i="30"/>
  <c r="V129" i="30"/>
  <c r="W129" i="30" s="1"/>
  <c r="X129" i="30" s="1"/>
  <c r="J87" i="30"/>
  <c r="AK9" i="29"/>
  <c r="C21" i="29"/>
  <c r="O21" i="29"/>
  <c r="AK21" i="29" s="1"/>
  <c r="C31" i="29"/>
  <c r="N31" i="29"/>
  <c r="O31" i="29" s="1"/>
  <c r="AK31" i="29" s="1"/>
  <c r="C107" i="29"/>
  <c r="N107" i="29"/>
  <c r="O107" i="29" s="1"/>
  <c r="AK107" i="29" s="1"/>
  <c r="C76" i="29"/>
  <c r="N76" i="29"/>
  <c r="O76" i="29" s="1"/>
  <c r="AK76" i="29" s="1"/>
  <c r="V94" i="30"/>
  <c r="W94" i="30" s="1"/>
  <c r="X94" i="30" s="1"/>
  <c r="J61" i="30"/>
  <c r="V61" i="30"/>
  <c r="W61" i="30" s="1"/>
  <c r="X61" i="30" s="1"/>
  <c r="J111" i="30"/>
  <c r="V111" i="30"/>
  <c r="W111" i="30" s="1"/>
  <c r="X111" i="30" s="1"/>
  <c r="C75" i="29"/>
  <c r="N75" i="29"/>
  <c r="O75" i="29" s="1"/>
  <c r="AK75" i="29" s="1"/>
  <c r="C47" i="29"/>
  <c r="N47" i="29"/>
  <c r="O47" i="29" s="1"/>
  <c r="AK47" i="29" s="1"/>
  <c r="C116" i="29"/>
  <c r="C22" i="29"/>
  <c r="N22" i="29"/>
  <c r="O22" i="29" s="1"/>
  <c r="AK22" i="29" s="1"/>
  <c r="C6" i="29"/>
  <c r="N6" i="29"/>
  <c r="O6" i="29" s="1"/>
  <c r="AK6" i="29" s="1"/>
  <c r="J167" i="30"/>
  <c r="V167" i="30"/>
  <c r="W167" i="30" s="1"/>
  <c r="X167" i="30" s="1"/>
  <c r="V145" i="30"/>
  <c r="W145" i="30" s="1"/>
  <c r="X145" i="30" s="1"/>
  <c r="J120" i="30"/>
  <c r="V120" i="30"/>
  <c r="W120" i="30" s="1"/>
  <c r="X120" i="30" s="1"/>
  <c r="V27" i="30"/>
  <c r="V65" i="30" l="1"/>
  <c r="W65" i="30" s="1"/>
  <c r="X65" i="30" s="1"/>
  <c r="H197" i="30"/>
  <c r="V197" i="30" s="1"/>
  <c r="W197" i="30" s="1"/>
  <c r="X197" i="30" s="1"/>
  <c r="V198" i="30"/>
  <c r="W198" i="30" s="1"/>
  <c r="X198" i="30" s="1"/>
  <c r="W27" i="30"/>
  <c r="X27" i="30" s="1"/>
  <c r="G203" i="30"/>
  <c r="C115" i="29"/>
  <c r="J57" i="30" l="1"/>
  <c r="V57" i="30"/>
  <c r="V183" i="30"/>
  <c r="W183" i="30" s="1"/>
  <c r="X183" i="30" s="1"/>
  <c r="AK60" i="29"/>
  <c r="S70" i="30"/>
  <c r="J70" i="30"/>
  <c r="J71" i="30"/>
  <c r="V69" i="30"/>
  <c r="W69" i="30" s="1"/>
  <c r="X69" i="30" s="1"/>
  <c r="J10" i="30"/>
  <c r="V10" i="30"/>
  <c r="W10" i="30" s="1"/>
  <c r="X10" i="30" s="1"/>
  <c r="J8" i="30"/>
  <c r="S8" i="30"/>
  <c r="T8" i="30"/>
  <c r="V8" i="30"/>
  <c r="W8" i="30" s="1"/>
  <c r="X8" i="30" s="1"/>
  <c r="J9" i="30"/>
  <c r="S9" i="30"/>
  <c r="V9" i="30"/>
  <c r="W9" i="30" s="1"/>
  <c r="J12" i="30"/>
  <c r="W12" i="30"/>
  <c r="X12" i="30" s="1"/>
  <c r="J19" i="30"/>
  <c r="W19" i="30"/>
  <c r="X19" i="30" s="1"/>
  <c r="J20" i="30"/>
  <c r="W20" i="30"/>
  <c r="X20" i="30" s="1"/>
  <c r="J5" i="30"/>
  <c r="V5" i="30"/>
  <c r="W5" i="30" s="1"/>
  <c r="X5" i="30" s="1"/>
  <c r="J6" i="30"/>
  <c r="V6" i="30"/>
  <c r="W6" i="30" s="1"/>
  <c r="X6" i="30" s="1"/>
  <c r="J7" i="30"/>
  <c r="T7" i="30"/>
  <c r="V7" i="30"/>
  <c r="W7" i="30" s="1"/>
  <c r="X7" i="30" s="1"/>
  <c r="J4" i="30"/>
  <c r="V4" i="30"/>
  <c r="W4" i="30" s="1"/>
  <c r="X4" i="30" s="1"/>
  <c r="J25" i="30"/>
  <c r="V25" i="30"/>
  <c r="W25" i="30" s="1"/>
  <c r="X25" i="30" s="1"/>
  <c r="J26" i="30"/>
  <c r="V26" i="30"/>
  <c r="W26" i="30" s="1"/>
  <c r="X26" i="30" s="1"/>
  <c r="J30" i="30"/>
  <c r="S30" i="30"/>
  <c r="V30" i="30"/>
  <c r="W30" i="30" s="1"/>
  <c r="X30" i="30" s="1"/>
  <c r="J38" i="30"/>
  <c r="V38" i="30"/>
  <c r="W38" i="30" s="1"/>
  <c r="X38" i="30" s="1"/>
  <c r="J44" i="30"/>
  <c r="W44" i="30"/>
  <c r="X44" i="30" s="1"/>
  <c r="J36" i="30"/>
  <c r="V36" i="30"/>
  <c r="W36" i="30" s="1"/>
  <c r="X36" i="30" s="1"/>
  <c r="J43" i="30"/>
  <c r="S43" i="30"/>
  <c r="T43" i="30"/>
  <c r="V43" i="30"/>
  <c r="W43" i="30" s="1"/>
  <c r="X43" i="30" s="1"/>
  <c r="J52" i="30"/>
  <c r="V52" i="30"/>
  <c r="W52" i="30" s="1"/>
  <c r="X52" i="30" s="1"/>
  <c r="J53" i="30"/>
  <c r="V53" i="30"/>
  <c r="W53" i="30" s="1"/>
  <c r="X53" i="30" s="1"/>
  <c r="J55" i="30"/>
  <c r="V55" i="30"/>
  <c r="J50" i="30"/>
  <c r="W50" i="30"/>
  <c r="X50" i="30" s="1"/>
  <c r="J56" i="30"/>
  <c r="V56" i="30"/>
  <c r="W56" i="30" s="1"/>
  <c r="X56" i="30" s="1"/>
  <c r="J58" i="30"/>
  <c r="V58" i="30"/>
  <c r="W58" i="30" s="1"/>
  <c r="X58" i="30" s="1"/>
  <c r="J59" i="30"/>
  <c r="V59" i="30"/>
  <c r="W59" i="30" s="1"/>
  <c r="X59" i="30" s="1"/>
  <c r="J60" i="30"/>
  <c r="V60" i="30"/>
  <c r="W60" i="30" s="1"/>
  <c r="X60" i="30" s="1"/>
  <c r="J63" i="30"/>
  <c r="V63" i="30"/>
  <c r="W63" i="30" s="1"/>
  <c r="X63" i="30" s="1"/>
  <c r="J62" i="30"/>
  <c r="V62" i="30"/>
  <c r="W62" i="30" s="1"/>
  <c r="X62" i="30" s="1"/>
  <c r="J67" i="30"/>
  <c r="V67" i="30"/>
  <c r="W67" i="30" s="1"/>
  <c r="X67" i="30" s="1"/>
  <c r="J68" i="30"/>
  <c r="V68" i="30"/>
  <c r="W68" i="30" s="1"/>
  <c r="X68" i="30" s="1"/>
  <c r="J66" i="30"/>
  <c r="V66" i="30"/>
  <c r="W66" i="30" s="1"/>
  <c r="X66" i="30" s="1"/>
  <c r="X70" i="30"/>
  <c r="V71" i="30"/>
  <c r="W71" i="30" s="1"/>
  <c r="X71" i="30" s="1"/>
  <c r="J45" i="30"/>
  <c r="W45" i="30"/>
  <c r="X45" i="30" s="1"/>
  <c r="J46" i="30"/>
  <c r="W46" i="30"/>
  <c r="X46" i="30" s="1"/>
  <c r="J48" i="30"/>
  <c r="V48" i="30"/>
  <c r="W48" i="30" s="1"/>
  <c r="X48" i="30" s="1"/>
  <c r="J72" i="30"/>
  <c r="W72" i="30"/>
  <c r="X72" i="30" s="1"/>
  <c r="J73" i="30"/>
  <c r="V73" i="30"/>
  <c r="W73" i="30" s="1"/>
  <c r="X73" i="30" s="1"/>
  <c r="J74" i="30"/>
  <c r="S74" i="30"/>
  <c r="T74" i="30"/>
  <c r="V74" i="30"/>
  <c r="W74" i="30" s="1"/>
  <c r="X74" i="30" s="1"/>
  <c r="J75" i="30"/>
  <c r="V75" i="30"/>
  <c r="W75" i="30" s="1"/>
  <c r="X75" i="30" s="1"/>
  <c r="J84" i="30"/>
  <c r="V84" i="30"/>
  <c r="W84" i="30" s="1"/>
  <c r="X84" i="30" s="1"/>
  <c r="J82" i="30"/>
  <c r="V82" i="30"/>
  <c r="W82" i="30" s="1"/>
  <c r="X82" i="30" s="1"/>
  <c r="J80" i="30"/>
  <c r="V80" i="30"/>
  <c r="W80" i="30" s="1"/>
  <c r="X80" i="30" s="1"/>
  <c r="J79" i="30"/>
  <c r="V79" i="30"/>
  <c r="W79" i="30" s="1"/>
  <c r="X79" i="30" s="1"/>
  <c r="J81" i="30"/>
  <c r="W81" i="30"/>
  <c r="X81" i="30" s="1"/>
  <c r="J77" i="30"/>
  <c r="W77" i="30"/>
  <c r="X77" i="30" s="1"/>
  <c r="J83" i="30"/>
  <c r="W83" i="30"/>
  <c r="X83" i="30" s="1"/>
  <c r="J78" i="30"/>
  <c r="V78" i="30"/>
  <c r="W78" i="30" s="1"/>
  <c r="X78" i="30" s="1"/>
  <c r="V86" i="30"/>
  <c r="W86" i="30" s="1"/>
  <c r="X86" i="30" s="1"/>
  <c r="V85" i="30"/>
  <c r="W85" i="30" s="1"/>
  <c r="X85" i="30" s="1"/>
  <c r="J89" i="30"/>
  <c r="V89" i="30"/>
  <c r="W89" i="30" s="1"/>
  <c r="X89" i="30" s="1"/>
  <c r="J90" i="30"/>
  <c r="V90" i="30"/>
  <c r="W90" i="30" s="1"/>
  <c r="X90" i="30" s="1"/>
  <c r="J91" i="30"/>
  <c r="V91" i="30"/>
  <c r="W91" i="30" s="1"/>
  <c r="X91" i="30" s="1"/>
  <c r="J92" i="30"/>
  <c r="V92" i="30"/>
  <c r="W92" i="30" s="1"/>
  <c r="X92" i="30" s="1"/>
  <c r="J93" i="30"/>
  <c r="V93" i="30"/>
  <c r="W93" i="30" s="1"/>
  <c r="X93" i="30" s="1"/>
  <c r="V96" i="30"/>
  <c r="W96" i="30" s="1"/>
  <c r="X96" i="30" s="1"/>
  <c r="V98" i="30"/>
  <c r="W98" i="30" s="1"/>
  <c r="X98" i="30" s="1"/>
  <c r="V99" i="30"/>
  <c r="W99" i="30" s="1"/>
  <c r="X99" i="30" s="1"/>
  <c r="J100" i="30"/>
  <c r="V100" i="30"/>
  <c r="W100" i="30" s="1"/>
  <c r="X100" i="30" s="1"/>
  <c r="J101" i="30"/>
  <c r="V101" i="30"/>
  <c r="W101" i="30" s="1"/>
  <c r="X101" i="30" s="1"/>
  <c r="J102" i="30"/>
  <c r="T102" i="30"/>
  <c r="V102" i="30"/>
  <c r="W102" i="30" s="1"/>
  <c r="X102" i="30" s="1"/>
  <c r="J105" i="30"/>
  <c r="V105" i="30"/>
  <c r="W105" i="30" s="1"/>
  <c r="X105" i="30" s="1"/>
  <c r="J108" i="30"/>
  <c r="V108" i="30"/>
  <c r="W108" i="30" s="1"/>
  <c r="X108" i="30" s="1"/>
  <c r="J107" i="30"/>
  <c r="V107" i="30"/>
  <c r="W107" i="30" s="1"/>
  <c r="X107" i="30" s="1"/>
  <c r="J106" i="30"/>
  <c r="V106" i="30"/>
  <c r="W106" i="30" s="1"/>
  <c r="X106" i="30" s="1"/>
  <c r="J110" i="30"/>
  <c r="W110" i="30"/>
  <c r="X110" i="30" s="1"/>
  <c r="J112" i="30"/>
  <c r="V112" i="30"/>
  <c r="W112" i="30" s="1"/>
  <c r="X112" i="30" s="1"/>
  <c r="J113" i="30"/>
  <c r="V113" i="30"/>
  <c r="W113" i="30" s="1"/>
  <c r="X113" i="30" s="1"/>
  <c r="J114" i="30"/>
  <c r="V114" i="30"/>
  <c r="W114" i="30" s="1"/>
  <c r="X114" i="30" s="1"/>
  <c r="J115" i="30"/>
  <c r="V115" i="30"/>
  <c r="W115" i="30" s="1"/>
  <c r="X115" i="30" s="1"/>
  <c r="J116" i="30"/>
  <c r="V116" i="30"/>
  <c r="W116" i="30" s="1"/>
  <c r="X116" i="30" s="1"/>
  <c r="J121" i="30"/>
  <c r="V121" i="30"/>
  <c r="W121" i="30" s="1"/>
  <c r="X121" i="30" s="1"/>
  <c r="J123" i="30"/>
  <c r="V123" i="30"/>
  <c r="W123" i="30" s="1"/>
  <c r="X123" i="30" s="1"/>
  <c r="J124" i="30"/>
  <c r="V124" i="30"/>
  <c r="W124" i="30" s="1"/>
  <c r="X124" i="30" s="1"/>
  <c r="J128" i="30"/>
  <c r="V128" i="30"/>
  <c r="W128" i="30" s="1"/>
  <c r="J125" i="30"/>
  <c r="V125" i="30"/>
  <c r="W125" i="30" s="1"/>
  <c r="X125" i="30" s="1"/>
  <c r="J127" i="30"/>
  <c r="V127" i="30"/>
  <c r="W127" i="30" s="1"/>
  <c r="X127" i="30" s="1"/>
  <c r="J130" i="30"/>
  <c r="V130" i="30"/>
  <c r="W130" i="30" s="1"/>
  <c r="X130" i="30" s="1"/>
  <c r="J131" i="30"/>
  <c r="V131" i="30"/>
  <c r="W131" i="30" s="1"/>
  <c r="X131" i="30" s="1"/>
  <c r="J132" i="30"/>
  <c r="S132" i="30"/>
  <c r="V132" i="30"/>
  <c r="W132" i="30" s="1"/>
  <c r="X132" i="30" s="1"/>
  <c r="V133" i="30"/>
  <c r="W133" i="30" s="1"/>
  <c r="X133" i="30" s="1"/>
  <c r="V134" i="30"/>
  <c r="W134" i="30" s="1"/>
  <c r="X134" i="30" s="1"/>
  <c r="J136" i="30"/>
  <c r="W136" i="30"/>
  <c r="X136" i="30" s="1"/>
  <c r="J137" i="30"/>
  <c r="V137" i="30"/>
  <c r="W137" i="30" s="1"/>
  <c r="X137" i="30" s="1"/>
  <c r="J138" i="30"/>
  <c r="V138" i="30"/>
  <c r="W138" i="30" s="1"/>
  <c r="X138" i="30" s="1"/>
  <c r="J139" i="30"/>
  <c r="V139" i="30"/>
  <c r="W139" i="30" s="1"/>
  <c r="X139" i="30" s="1"/>
  <c r="J140" i="30"/>
  <c r="V140" i="30"/>
  <c r="W140" i="30" s="1"/>
  <c r="X140" i="30" s="1"/>
  <c r="J144" i="30"/>
  <c r="V144" i="30"/>
  <c r="W144" i="30" s="1"/>
  <c r="X144" i="30" s="1"/>
  <c r="J143" i="30"/>
  <c r="S143" i="30"/>
  <c r="V143" i="30"/>
  <c r="W143" i="30" s="1"/>
  <c r="X143" i="30" s="1"/>
  <c r="J142" i="30"/>
  <c r="V142" i="30"/>
  <c r="W142" i="30" s="1"/>
  <c r="X142" i="30" s="1"/>
  <c r="J146" i="30"/>
  <c r="T146" i="30"/>
  <c r="V146" i="30"/>
  <c r="W146" i="30" s="1"/>
  <c r="X146" i="30" s="1"/>
  <c r="J147" i="30"/>
  <c r="V147" i="30"/>
  <c r="W147" i="30" s="1"/>
  <c r="X147" i="30" s="1"/>
  <c r="J148" i="30"/>
  <c r="V148" i="30"/>
  <c r="W148" i="30" s="1"/>
  <c r="X148" i="30" s="1"/>
  <c r="J150" i="30"/>
  <c r="W150" i="30"/>
  <c r="X150" i="30" s="1"/>
  <c r="J153" i="30"/>
  <c r="W153" i="30"/>
  <c r="X153" i="30" s="1"/>
  <c r="W154" i="30"/>
  <c r="X154" i="30" s="1"/>
  <c r="V156" i="30"/>
  <c r="W156" i="30" s="1"/>
  <c r="X156" i="30" s="1"/>
  <c r="J157" i="30"/>
  <c r="V157" i="30"/>
  <c r="W157" i="30" s="1"/>
  <c r="X157" i="30" s="1"/>
  <c r="J160" i="30"/>
  <c r="V160" i="30"/>
  <c r="W160" i="30" s="1"/>
  <c r="X160" i="30" s="1"/>
  <c r="J158" i="30"/>
  <c r="S158" i="30"/>
  <c r="V158" i="30"/>
  <c r="W158" i="30" s="1"/>
  <c r="X158" i="30" s="1"/>
  <c r="J159" i="30"/>
  <c r="V159" i="30"/>
  <c r="W159" i="30" s="1"/>
  <c r="X159" i="30" s="1"/>
  <c r="V163" i="30"/>
  <c r="W163" i="30" s="1"/>
  <c r="X163" i="30" s="1"/>
  <c r="V164" i="30"/>
  <c r="W164" i="30" s="1"/>
  <c r="X164" i="30" s="1"/>
  <c r="J165" i="30"/>
  <c r="V165" i="30"/>
  <c r="W165" i="30" s="1"/>
  <c r="X165" i="30" s="1"/>
  <c r="J168" i="30"/>
  <c r="V168" i="30"/>
  <c r="W168" i="30" s="1"/>
  <c r="X168" i="30" s="1"/>
  <c r="J169" i="30"/>
  <c r="V169" i="30"/>
  <c r="W169" i="30" s="1"/>
  <c r="X169" i="30" s="1"/>
  <c r="J170" i="30"/>
  <c r="V170" i="30"/>
  <c r="W170" i="30" s="1"/>
  <c r="X170" i="30" s="1"/>
  <c r="J174" i="30"/>
  <c r="W174" i="30"/>
  <c r="X174" i="30" s="1"/>
  <c r="J171" i="30"/>
  <c r="V171" i="30"/>
  <c r="W171" i="30" s="1"/>
  <c r="X171" i="30" s="1"/>
  <c r="J175" i="30"/>
  <c r="V175" i="30"/>
  <c r="W175" i="30" s="1"/>
  <c r="X175" i="30" s="1"/>
  <c r="J176" i="30"/>
  <c r="V176" i="30"/>
  <c r="W176" i="30" s="1"/>
  <c r="X176" i="30" s="1"/>
  <c r="J177" i="30"/>
  <c r="V177" i="30"/>
  <c r="W177" i="30" s="1"/>
  <c r="X177" i="30" s="1"/>
  <c r="J178" i="30"/>
  <c r="V178" i="30"/>
  <c r="W178" i="30" s="1"/>
  <c r="X178" i="30" s="1"/>
  <c r="J179" i="30"/>
  <c r="V179" i="30"/>
  <c r="W179" i="30" s="1"/>
  <c r="X179" i="30" s="1"/>
  <c r="J182" i="30"/>
  <c r="V182" i="30"/>
  <c r="W182" i="30" s="1"/>
  <c r="X182" i="30" s="1"/>
  <c r="V185" i="30"/>
  <c r="W185" i="30" s="1"/>
  <c r="X185" i="30" s="1"/>
  <c r="J187" i="30"/>
  <c r="V187" i="30"/>
  <c r="W187" i="30" s="1"/>
  <c r="X187" i="30" s="1"/>
  <c r="J180" i="30"/>
  <c r="V180" i="30"/>
  <c r="W180" i="30" s="1"/>
  <c r="X180" i="30" s="1"/>
  <c r="V184" i="30"/>
  <c r="W184" i="30" s="1"/>
  <c r="X184" i="30" s="1"/>
  <c r="J188" i="30"/>
  <c r="V188" i="30"/>
  <c r="W188" i="30" s="1"/>
  <c r="X188" i="30" s="1"/>
  <c r="J191" i="30"/>
  <c r="V191" i="30"/>
  <c r="W191" i="30" s="1"/>
  <c r="X191" i="30" s="1"/>
  <c r="J192" i="30"/>
  <c r="V192" i="30"/>
  <c r="W192" i="30" s="1"/>
  <c r="X192" i="30" s="1"/>
  <c r="J190" i="30"/>
  <c r="V190" i="30"/>
  <c r="W190" i="30" s="1"/>
  <c r="X190" i="30" s="1"/>
  <c r="J64" i="30"/>
  <c r="V64" i="30"/>
  <c r="W64" i="30" s="1"/>
  <c r="X64" i="30" s="1"/>
  <c r="J196" i="30"/>
  <c r="V196" i="30"/>
  <c r="W196" i="30" s="1"/>
  <c r="X196" i="30" s="1"/>
  <c r="J194" i="30"/>
  <c r="V194" i="30"/>
  <c r="W194" i="30" s="1"/>
  <c r="X194" i="30" s="1"/>
  <c r="J141" i="30"/>
  <c r="V141" i="30"/>
  <c r="W141" i="30" s="1"/>
  <c r="X141" i="30" s="1"/>
  <c r="V118" i="30"/>
  <c r="W118" i="30" s="1"/>
  <c r="X118" i="30" s="1"/>
  <c r="L205" i="30"/>
  <c r="L204" i="30"/>
  <c r="L203" i="30"/>
  <c r="V161" i="30"/>
  <c r="W161" i="30" s="1"/>
  <c r="X161" i="30" s="1"/>
  <c r="J161" i="30"/>
  <c r="C5" i="29"/>
  <c r="O5" i="29"/>
  <c r="AK5" i="29" s="1"/>
  <c r="C8" i="29"/>
  <c r="O8" i="29"/>
  <c r="AK8" i="29" s="1"/>
  <c r="C7" i="29"/>
  <c r="O7" i="29"/>
  <c r="AK7" i="29" s="1"/>
  <c r="C13" i="29"/>
  <c r="N13" i="29"/>
  <c r="O13" i="29" s="1"/>
  <c r="AK13" i="29" s="1"/>
  <c r="C12" i="29"/>
  <c r="N12" i="29"/>
  <c r="O12" i="29" s="1"/>
  <c r="AK12" i="29" s="1"/>
  <c r="C14" i="29"/>
  <c r="N14" i="29"/>
  <c r="O14" i="29" s="1"/>
  <c r="AK14" i="29" s="1"/>
  <c r="C15" i="29"/>
  <c r="N15" i="29"/>
  <c r="O15" i="29" s="1"/>
  <c r="AK15" i="29" s="1"/>
  <c r="C17" i="29"/>
  <c r="N17" i="29"/>
  <c r="O17" i="29" s="1"/>
  <c r="AK17" i="29" s="1"/>
  <c r="C18" i="29"/>
  <c r="N18" i="29"/>
  <c r="O18" i="29" s="1"/>
  <c r="AK18" i="29" s="1"/>
  <c r="C19" i="29"/>
  <c r="N19" i="29"/>
  <c r="O19" i="29" s="1"/>
  <c r="AK19" i="29" s="1"/>
  <c r="C20" i="29"/>
  <c r="N20" i="29"/>
  <c r="O20" i="29" s="1"/>
  <c r="AK20" i="29" s="1"/>
  <c r="C23" i="29"/>
  <c r="N23" i="29"/>
  <c r="O23" i="29" s="1"/>
  <c r="AK23" i="29" s="1"/>
  <c r="C24" i="29"/>
  <c r="M24" i="29"/>
  <c r="N24" i="29" s="1"/>
  <c r="O24" i="29" s="1"/>
  <c r="AK24" i="29" s="1"/>
  <c r="C25" i="29"/>
  <c r="N25" i="29"/>
  <c r="O25" i="29" s="1"/>
  <c r="AK25" i="29" s="1"/>
  <c r="C26" i="29"/>
  <c r="N26" i="29"/>
  <c r="O26" i="29" s="1"/>
  <c r="AK26" i="29" s="1"/>
  <c r="C27" i="29"/>
  <c r="N27" i="29"/>
  <c r="O27" i="29" s="1"/>
  <c r="AK27" i="29" s="1"/>
  <c r="C28" i="29"/>
  <c r="N28" i="29"/>
  <c r="O28" i="29" s="1"/>
  <c r="AK28" i="29" s="1"/>
  <c r="C29" i="29"/>
  <c r="N29" i="29"/>
  <c r="O29" i="29" s="1"/>
  <c r="AK29" i="29" s="1"/>
  <c r="C30" i="29"/>
  <c r="N30" i="29"/>
  <c r="O30" i="29" s="1"/>
  <c r="AK30" i="29" s="1"/>
  <c r="C32" i="29"/>
  <c r="N32" i="29"/>
  <c r="O32" i="29" s="1"/>
  <c r="AK32" i="29" s="1"/>
  <c r="C33" i="29"/>
  <c r="N33" i="29"/>
  <c r="O33" i="29" s="1"/>
  <c r="AK33" i="29" s="1"/>
  <c r="C34" i="29"/>
  <c r="N34" i="29"/>
  <c r="O34" i="29" s="1"/>
  <c r="AK34" i="29" s="1"/>
  <c r="C35" i="29"/>
  <c r="N35" i="29"/>
  <c r="O35" i="29" s="1"/>
  <c r="AK35" i="29" s="1"/>
  <c r="C36" i="29"/>
  <c r="N36" i="29"/>
  <c r="O36" i="29" s="1"/>
  <c r="AK36" i="29" s="1"/>
  <c r="C37" i="29"/>
  <c r="N37" i="29"/>
  <c r="O37" i="29" s="1"/>
  <c r="AK37" i="29" s="1"/>
  <c r="C38" i="29"/>
  <c r="N38" i="29"/>
  <c r="O38" i="29" s="1"/>
  <c r="AK38" i="29" s="1"/>
  <c r="C39" i="29"/>
  <c r="N39" i="29"/>
  <c r="O39" i="29" s="1"/>
  <c r="AK39" i="29" s="1"/>
  <c r="C40" i="29"/>
  <c r="N40" i="29"/>
  <c r="O40" i="29" s="1"/>
  <c r="AK40" i="29" s="1"/>
  <c r="C41" i="29"/>
  <c r="N41" i="29"/>
  <c r="O41" i="29" s="1"/>
  <c r="AK41" i="29" s="1"/>
  <c r="C42" i="29"/>
  <c r="N42" i="29"/>
  <c r="O42" i="29" s="1"/>
  <c r="AK42" i="29" s="1"/>
  <c r="C43" i="29"/>
  <c r="N43" i="29"/>
  <c r="O43" i="29" s="1"/>
  <c r="AK43" i="29" s="1"/>
  <c r="C44" i="29"/>
  <c r="N44" i="29"/>
  <c r="O44" i="29" s="1"/>
  <c r="AK44" i="29" s="1"/>
  <c r="C45" i="29"/>
  <c r="N45" i="29"/>
  <c r="O45" i="29" s="1"/>
  <c r="AK45" i="29" s="1"/>
  <c r="C46" i="29"/>
  <c r="N46" i="29"/>
  <c r="O46" i="29" s="1"/>
  <c r="AK46" i="29" s="1"/>
  <c r="C105" i="29"/>
  <c r="N105" i="29"/>
  <c r="O105" i="29" s="1"/>
  <c r="AK105" i="29" s="1"/>
  <c r="C48" i="29"/>
  <c r="N48" i="29"/>
  <c r="O48" i="29" s="1"/>
  <c r="AK48" i="29" s="1"/>
  <c r="C49" i="29"/>
  <c r="N49" i="29"/>
  <c r="O49" i="29" s="1"/>
  <c r="AK49" i="29" s="1"/>
  <c r="C50" i="29"/>
  <c r="N50" i="29"/>
  <c r="O50" i="29" s="1"/>
  <c r="AK50" i="29" s="1"/>
  <c r="C51" i="29"/>
  <c r="N51" i="29"/>
  <c r="O51" i="29" s="1"/>
  <c r="AK51" i="29" s="1"/>
  <c r="C52" i="29"/>
  <c r="N52" i="29"/>
  <c r="O52" i="29" s="1"/>
  <c r="AK52" i="29" s="1"/>
  <c r="C53" i="29"/>
  <c r="N53" i="29"/>
  <c r="O53" i="29" s="1"/>
  <c r="AK53" i="29" s="1"/>
  <c r="C56" i="29"/>
  <c r="N56" i="29"/>
  <c r="O56" i="29" s="1"/>
  <c r="AK56" i="29" s="1"/>
  <c r="C57" i="29"/>
  <c r="N57" i="29"/>
  <c r="O57" i="29" s="1"/>
  <c r="AK57" i="29" s="1"/>
  <c r="C59" i="29"/>
  <c r="N59" i="29"/>
  <c r="O59" i="29" s="1"/>
  <c r="AK59" i="29" s="1"/>
  <c r="C61" i="29"/>
  <c r="N61" i="29"/>
  <c r="O61" i="29" s="1"/>
  <c r="AK61" i="29" s="1"/>
  <c r="C62" i="29"/>
  <c r="N62" i="29"/>
  <c r="O62" i="29" s="1"/>
  <c r="AK62" i="29" s="1"/>
  <c r="C63" i="29"/>
  <c r="N63" i="29"/>
  <c r="O63" i="29" s="1"/>
  <c r="AK63" i="29" s="1"/>
  <c r="C64" i="29"/>
  <c r="N64" i="29"/>
  <c r="O64" i="29" s="1"/>
  <c r="AK64" i="29" s="1"/>
  <c r="C65" i="29"/>
  <c r="N65" i="29"/>
  <c r="O65" i="29" s="1"/>
  <c r="AK65" i="29" s="1"/>
  <c r="C66" i="29"/>
  <c r="N66" i="29"/>
  <c r="O66" i="29" s="1"/>
  <c r="AK66" i="29" s="1"/>
  <c r="C67" i="29"/>
  <c r="O67" i="29"/>
  <c r="AK67" i="29" s="1"/>
  <c r="C71" i="29"/>
  <c r="N71" i="29"/>
  <c r="O71" i="29" s="1"/>
  <c r="AK71" i="29" s="1"/>
  <c r="C68" i="29"/>
  <c r="N68" i="29"/>
  <c r="O68" i="29" s="1"/>
  <c r="AK68" i="29" s="1"/>
  <c r="C69" i="29"/>
  <c r="N69" i="29"/>
  <c r="O69" i="29" s="1"/>
  <c r="AK69" i="29" s="1"/>
  <c r="C70" i="29"/>
  <c r="N70" i="29"/>
  <c r="O70" i="29" s="1"/>
  <c r="AK70" i="29" s="1"/>
  <c r="C72" i="29"/>
  <c r="N72" i="29"/>
  <c r="O72" i="29" s="1"/>
  <c r="AK72" i="29" s="1"/>
  <c r="C73" i="29"/>
  <c r="N73" i="29"/>
  <c r="O73" i="29" s="1"/>
  <c r="AK73" i="29" s="1"/>
  <c r="C74" i="29"/>
  <c r="N74" i="29"/>
  <c r="O74" i="29" s="1"/>
  <c r="AK74" i="29" s="1"/>
  <c r="C78" i="29"/>
  <c r="N78" i="29"/>
  <c r="O78" i="29" s="1"/>
  <c r="AK78" i="29" s="1"/>
  <c r="C79" i="29"/>
  <c r="N79" i="29"/>
  <c r="O79" i="29" s="1"/>
  <c r="AK79" i="29" s="1"/>
  <c r="C81" i="29"/>
  <c r="N81" i="29"/>
  <c r="O81" i="29" s="1"/>
  <c r="AK81" i="29" s="1"/>
  <c r="C82" i="29"/>
  <c r="N82" i="29"/>
  <c r="O82" i="29" s="1"/>
  <c r="AK82" i="29" s="1"/>
  <c r="C83" i="29"/>
  <c r="O83" i="29"/>
  <c r="AK83" i="29" s="1"/>
  <c r="C84" i="29"/>
  <c r="O84" i="29"/>
  <c r="AK84" i="29" s="1"/>
  <c r="C85" i="29"/>
  <c r="O85" i="29"/>
  <c r="AK85" i="29" s="1"/>
  <c r="C86" i="29"/>
  <c r="O86" i="29"/>
  <c r="AK86" i="29" s="1"/>
  <c r="C87" i="29"/>
  <c r="O87" i="29"/>
  <c r="AK87" i="29" s="1"/>
  <c r="C88" i="29"/>
  <c r="O88" i="29"/>
  <c r="AK88" i="29" s="1"/>
  <c r="C89" i="29"/>
  <c r="O89" i="29"/>
  <c r="AK89" i="29" s="1"/>
  <c r="C90" i="29"/>
  <c r="N90" i="29"/>
  <c r="O90" i="29" s="1"/>
  <c r="AK90" i="29" s="1"/>
  <c r="C91" i="29"/>
  <c r="N91" i="29"/>
  <c r="O91" i="29" s="1"/>
  <c r="AK91" i="29" s="1"/>
  <c r="C92" i="29"/>
  <c r="O92" i="29"/>
  <c r="AK92" i="29" s="1"/>
  <c r="C95" i="29"/>
  <c r="O95" i="29"/>
  <c r="AK95" i="29" s="1"/>
  <c r="C96" i="29"/>
  <c r="O96" i="29"/>
  <c r="AK96" i="29" s="1"/>
  <c r="C100" i="29"/>
  <c r="O100" i="29"/>
  <c r="AK100" i="29" s="1"/>
  <c r="C102" i="29"/>
  <c r="O102" i="29"/>
  <c r="AK102" i="29" s="1"/>
  <c r="C103" i="29"/>
  <c r="O103" i="29"/>
  <c r="AK103" i="29" s="1"/>
  <c r="C104" i="29"/>
  <c r="N104" i="29"/>
  <c r="O104" i="29" s="1"/>
  <c r="AK104" i="29" s="1"/>
  <c r="C101" i="29"/>
  <c r="O101" i="29"/>
  <c r="AK101" i="29" s="1"/>
  <c r="C106" i="29"/>
  <c r="N106" i="29"/>
  <c r="O106" i="29" s="1"/>
  <c r="AK106" i="29" s="1"/>
  <c r="C108" i="29"/>
  <c r="N108" i="29"/>
  <c r="O108" i="29" s="1"/>
  <c r="AK108" i="29" s="1"/>
  <c r="C109" i="29"/>
  <c r="N109" i="29"/>
  <c r="O109" i="29" s="1"/>
  <c r="AK109" i="29" s="1"/>
  <c r="C110" i="29"/>
  <c r="N110" i="29"/>
  <c r="O110" i="29" s="1"/>
  <c r="AK110" i="29" s="1"/>
  <c r="C111" i="29"/>
  <c r="N111" i="29"/>
  <c r="O111" i="29" s="1"/>
  <c r="AK111" i="29" s="1"/>
  <c r="C112" i="29"/>
  <c r="N112" i="29"/>
  <c r="O112" i="29" s="1"/>
  <c r="AK112" i="29" s="1"/>
  <c r="C114" i="29"/>
  <c r="N114" i="29"/>
  <c r="O114" i="29" s="1"/>
  <c r="AK114" i="29" s="1"/>
  <c r="C54" i="29"/>
  <c r="N54" i="29"/>
  <c r="O54" i="29" s="1"/>
  <c r="AK54" i="29" s="1"/>
  <c r="C55" i="29"/>
  <c r="N55" i="29"/>
  <c r="O55" i="29" s="1"/>
  <c r="AK55" i="29" s="1"/>
  <c r="C123" i="29"/>
  <c r="C122" i="29"/>
  <c r="F121" i="29"/>
  <c r="N58" i="29"/>
  <c r="O58" i="29" s="1"/>
  <c r="AK58" i="29" s="1"/>
  <c r="C58" i="29"/>
  <c r="N16" i="29"/>
  <c r="O16" i="29" s="1"/>
  <c r="AK16" i="29" s="1"/>
  <c r="C16" i="29"/>
  <c r="O3" i="29"/>
  <c r="AK3" i="29" s="1"/>
  <c r="C3" i="29"/>
  <c r="X9" i="30" l="1"/>
  <c r="W55" i="30"/>
  <c r="X55" i="30" s="1"/>
  <c r="W57" i="30"/>
  <c r="X57" i="30" s="1"/>
  <c r="X128" i="30"/>
  <c r="X9" i="29"/>
  <c r="V87" i="10"/>
  <c r="W87" i="10" s="1"/>
  <c r="AQ87" i="10" s="1"/>
  <c r="C87" i="10"/>
  <c r="C82" i="10"/>
  <c r="V82" i="10"/>
  <c r="W82" i="10" s="1"/>
  <c r="AQ82" i="10" s="1"/>
  <c r="C83" i="10"/>
  <c r="V83" i="10"/>
  <c r="W83" i="10" s="1"/>
  <c r="AQ83" i="10" s="1"/>
  <c r="C84" i="10"/>
  <c r="V84" i="10"/>
  <c r="W84" i="10" s="1"/>
  <c r="AQ84" i="10" s="1"/>
  <c r="C199" i="10"/>
  <c r="V199" i="10"/>
  <c r="W199" i="10" s="1"/>
  <c r="AQ199" i="10" s="1"/>
  <c r="C183" i="10"/>
  <c r="V183" i="10"/>
  <c r="W183" i="10" s="1"/>
  <c r="AQ183" i="10" s="1"/>
  <c r="V184" i="10"/>
  <c r="W184" i="10" s="1"/>
  <c r="AQ184" i="10" s="1"/>
  <c r="C184" i="10"/>
  <c r="C8" i="10"/>
  <c r="V8" i="10"/>
  <c r="W8" i="10" s="1"/>
  <c r="AQ8" i="10" s="1"/>
  <c r="C7" i="10"/>
  <c r="W7" i="10"/>
  <c r="AQ7" i="10" s="1"/>
  <c r="C9" i="10"/>
  <c r="W9" i="10"/>
  <c r="AQ9" i="10" s="1"/>
  <c r="C31" i="10"/>
  <c r="W31" i="10"/>
  <c r="AQ31" i="10" s="1"/>
  <c r="C200" i="10"/>
  <c r="V200" i="10"/>
  <c r="W200" i="10" s="1"/>
  <c r="AQ200" i="10" s="1"/>
  <c r="C204" i="10"/>
  <c r="V204" i="10"/>
  <c r="W204" i="10" s="1"/>
  <c r="AQ204" i="10" s="1"/>
  <c r="C205" i="10"/>
  <c r="V205" i="10"/>
  <c r="W205" i="10" s="1"/>
  <c r="AQ205" i="10" s="1"/>
  <c r="C208" i="10"/>
  <c r="V208" i="10"/>
  <c r="W208" i="10" s="1"/>
  <c r="AQ208" i="10" s="1"/>
  <c r="C198" i="10"/>
  <c r="V198" i="10"/>
  <c r="W198" i="10" s="1"/>
  <c r="AQ198" i="10" s="1"/>
  <c r="C185" i="10"/>
  <c r="V185" i="10"/>
  <c r="W185" i="10" s="1"/>
  <c r="AQ185" i="10" s="1"/>
  <c r="C182" i="10"/>
  <c r="V182" i="10"/>
  <c r="W182" i="10" s="1"/>
  <c r="AQ182" i="10" s="1"/>
  <c r="C169" i="10"/>
  <c r="V169" i="10"/>
  <c r="W169" i="10" s="1"/>
  <c r="AQ169" i="10" s="1"/>
  <c r="C163" i="10"/>
  <c r="V163" i="10"/>
  <c r="W163" i="10" s="1"/>
  <c r="AQ163" i="10" s="1"/>
  <c r="C161" i="10"/>
  <c r="V161" i="10"/>
  <c r="W161" i="10" s="1"/>
  <c r="AQ161" i="10" s="1"/>
  <c r="C162" i="10"/>
  <c r="V162" i="10"/>
  <c r="W162" i="10" s="1"/>
  <c r="AQ162" i="10" s="1"/>
  <c r="C69" i="10"/>
  <c r="W69" i="10"/>
  <c r="AQ69" i="10" s="1"/>
  <c r="C70" i="10"/>
  <c r="V70" i="10"/>
  <c r="W70" i="10" s="1"/>
  <c r="AQ70" i="10" s="1"/>
  <c r="C54" i="10" l="1"/>
  <c r="V54" i="10"/>
  <c r="W54" i="10" s="1"/>
  <c r="AQ54" i="10" s="1"/>
  <c r="C55" i="10"/>
  <c r="V55" i="10"/>
  <c r="W55" i="10" s="1"/>
  <c r="AQ55" i="10" s="1"/>
  <c r="C51" i="10"/>
  <c r="W51" i="10"/>
  <c r="AQ51" i="10" s="1"/>
  <c r="C52" i="10"/>
  <c r="W52" i="10"/>
  <c r="AQ52" i="10" s="1"/>
  <c r="C53" i="10"/>
  <c r="V53" i="10"/>
  <c r="W53" i="10" s="1"/>
  <c r="AQ53" i="10" s="1"/>
  <c r="S12" i="10"/>
  <c r="C12" i="10"/>
  <c r="V12" i="10"/>
  <c r="W12" i="10" s="1"/>
  <c r="AQ12" i="10" s="1"/>
  <c r="C217" i="10"/>
  <c r="V217" i="10"/>
  <c r="W217" i="10" s="1"/>
  <c r="AQ217" i="10" s="1"/>
  <c r="C216" i="10"/>
  <c r="V216" i="10"/>
  <c r="W216" i="10" s="1"/>
  <c r="AQ216" i="10" s="1"/>
  <c r="C50" i="10"/>
  <c r="V50" i="10"/>
  <c r="W50" i="10" s="1"/>
  <c r="AQ50" i="10" s="1"/>
  <c r="C209" i="10"/>
  <c r="V209" i="10"/>
  <c r="W209" i="10" s="1"/>
  <c r="AQ209" i="10" s="1"/>
  <c r="C215" i="10"/>
  <c r="V215" i="10"/>
  <c r="W215" i="10" s="1"/>
  <c r="AQ215" i="10" s="1"/>
  <c r="C214" i="10"/>
  <c r="V214" i="10"/>
  <c r="W214" i="10" s="1"/>
  <c r="AQ214" i="10" s="1"/>
  <c r="C213" i="10"/>
  <c r="V213" i="10"/>
  <c r="W213" i="10" s="1"/>
  <c r="AQ213" i="10" s="1"/>
  <c r="C19" i="10"/>
  <c r="V19" i="10"/>
  <c r="W19" i="10" s="1"/>
  <c r="AQ19" i="10" s="1"/>
  <c r="C20" i="10"/>
  <c r="W20" i="10"/>
  <c r="AQ20" i="10" s="1"/>
  <c r="C4" i="10"/>
  <c r="V4" i="10"/>
  <c r="W4" i="10" s="1"/>
  <c r="AQ4" i="10" s="1"/>
  <c r="C18" i="10"/>
  <c r="V18" i="10"/>
  <c r="W18" i="10" s="1"/>
  <c r="AQ18" i="10" s="1"/>
  <c r="C212" i="10" l="1"/>
  <c r="V212" i="10"/>
  <c r="W212" i="10" s="1"/>
  <c r="AQ212" i="10" s="1"/>
  <c r="C211" i="10"/>
  <c r="V211" i="10"/>
  <c r="W211" i="10" s="1"/>
  <c r="AQ211" i="10" s="1"/>
  <c r="C134" i="10"/>
  <c r="W134" i="10"/>
  <c r="AQ134" i="10" s="1"/>
  <c r="C178" i="10"/>
  <c r="V178" i="10"/>
  <c r="W178" i="10" s="1"/>
  <c r="AQ178" i="10" s="1"/>
  <c r="C61" i="10"/>
  <c r="V61" i="10"/>
  <c r="W61" i="10" s="1"/>
  <c r="AQ61" i="10" s="1"/>
  <c r="C149" i="10"/>
  <c r="V149" i="10"/>
  <c r="W149" i="10" s="1"/>
  <c r="AQ149" i="10" s="1"/>
  <c r="C114" i="10"/>
  <c r="V114" i="10"/>
  <c r="W114" i="10" s="1"/>
  <c r="AQ114" i="10" s="1"/>
  <c r="C103" i="10"/>
  <c r="V103" i="10"/>
  <c r="W103" i="10" s="1"/>
  <c r="AQ103" i="10" s="1"/>
  <c r="C46" i="10"/>
  <c r="V46" i="10"/>
  <c r="W46" i="10" s="1"/>
  <c r="AQ46" i="10" s="1"/>
  <c r="C21" i="10"/>
  <c r="V21" i="10"/>
  <c r="W21" i="10" s="1"/>
  <c r="AQ21" i="10" s="1"/>
  <c r="C123" i="10"/>
  <c r="V123" i="10"/>
  <c r="W123" i="10" s="1"/>
  <c r="AQ123" i="10" s="1"/>
  <c r="C102" i="10"/>
  <c r="W102" i="10"/>
  <c r="AQ102" i="10" s="1"/>
  <c r="C136" i="10"/>
  <c r="V136" i="10"/>
  <c r="W136" i="10" s="1"/>
  <c r="AQ136" i="10" s="1"/>
  <c r="C135" i="10"/>
  <c r="W135" i="10"/>
  <c r="AQ135" i="10" s="1"/>
  <c r="C113" i="10"/>
  <c r="V113" i="10"/>
  <c r="W113" i="10" s="1"/>
  <c r="AQ113" i="10" s="1"/>
  <c r="C67" i="10"/>
  <c r="W67" i="10"/>
  <c r="AQ67" i="10" s="1"/>
  <c r="C98" i="10"/>
  <c r="V98" i="10"/>
  <c r="W98" i="10" s="1"/>
  <c r="AQ98" i="10" s="1"/>
  <c r="C97" i="10"/>
  <c r="V97" i="10"/>
  <c r="W97" i="10" s="1"/>
  <c r="AQ97" i="10" s="1"/>
  <c r="C44" i="10"/>
  <c r="V44" i="10"/>
  <c r="W44" i="10" s="1"/>
  <c r="AQ44" i="10" s="1"/>
  <c r="C11" i="10"/>
  <c r="V11" i="10"/>
  <c r="W11" i="10" s="1"/>
  <c r="AQ11" i="10" s="1"/>
  <c r="C145" i="10"/>
  <c r="V145" i="10"/>
  <c r="W145" i="10" s="1"/>
  <c r="AQ145" i="10" s="1"/>
  <c r="Q131" i="10"/>
  <c r="U43" i="10"/>
  <c r="V165" i="10"/>
  <c r="W165" i="10" s="1"/>
  <c r="AQ165" i="10" s="1"/>
  <c r="R165" i="10"/>
  <c r="C165" i="10"/>
  <c r="V166" i="10"/>
  <c r="W166" i="10" s="1"/>
  <c r="AQ166" i="10" s="1"/>
  <c r="C166" i="10"/>
  <c r="C129" i="10"/>
  <c r="V129" i="10"/>
  <c r="W129" i="10" s="1"/>
  <c r="AQ129" i="10" s="1"/>
  <c r="C63" i="10"/>
  <c r="V63" i="10"/>
  <c r="W63" i="10" s="1"/>
  <c r="AQ63" i="10" s="1"/>
  <c r="C26" i="10"/>
  <c r="V26" i="10"/>
  <c r="W26" i="10" s="1"/>
  <c r="AQ26" i="10" s="1"/>
  <c r="R130" i="10"/>
  <c r="V121" i="10"/>
  <c r="C41" i="10"/>
  <c r="V41" i="10"/>
  <c r="W41" i="10" s="1"/>
  <c r="AQ41" i="10" s="1"/>
  <c r="C133" i="10"/>
  <c r="V133" i="10"/>
  <c r="W133" i="10" s="1"/>
  <c r="AQ133" i="10" s="1"/>
  <c r="C24" i="10"/>
  <c r="V24" i="10"/>
  <c r="AQ24" i="10" s="1"/>
  <c r="S22" i="10"/>
  <c r="R22" i="10"/>
  <c r="R148" i="10"/>
  <c r="R6" i="10"/>
  <c r="C179" i="10"/>
  <c r="V179" i="10"/>
  <c r="W179" i="10" s="1"/>
  <c r="AQ179" i="10" s="1"/>
  <c r="C89" i="10"/>
  <c r="V89" i="10"/>
  <c r="W89" i="10" s="1"/>
  <c r="AQ89" i="10" s="1"/>
  <c r="C90" i="10"/>
  <c r="V90" i="10"/>
  <c r="W90" i="10" s="1"/>
  <c r="AQ90" i="10" s="1"/>
  <c r="V194" i="10"/>
  <c r="C91" i="10" l="1"/>
  <c r="V91" i="10"/>
  <c r="W91" i="10" s="1"/>
  <c r="AQ91" i="10" s="1"/>
  <c r="C81" i="10"/>
  <c r="V81" i="10"/>
  <c r="W81" i="10" s="1"/>
  <c r="AQ81" i="10" s="1"/>
  <c r="V195" i="10" l="1"/>
  <c r="W195" i="10" s="1"/>
  <c r="AQ195" i="10" s="1"/>
  <c r="C195" i="10"/>
  <c r="C194" i="10"/>
  <c r="W194" i="10"/>
  <c r="AQ194" i="10" s="1"/>
  <c r="R60" i="10" l="1"/>
  <c r="S60" i="10"/>
  <c r="C60" i="10"/>
  <c r="V60" i="10"/>
  <c r="W60" i="10" s="1"/>
  <c r="AQ60" i="10" s="1"/>
  <c r="S5" i="10"/>
  <c r="R5" i="10"/>
  <c r="R48" i="10"/>
  <c r="C27" i="10"/>
  <c r="V27" i="10"/>
  <c r="W27" i="10" s="1"/>
  <c r="AQ27" i="10" s="1"/>
  <c r="C168" i="10" l="1"/>
  <c r="V168" i="10"/>
  <c r="W168" i="10" s="1"/>
  <c r="AQ168" i="10" s="1"/>
  <c r="C78" i="10"/>
  <c r="V78" i="10"/>
  <c r="W78" i="10" s="1"/>
  <c r="AQ78" i="10" s="1"/>
  <c r="C170" i="10"/>
  <c r="V170" i="10"/>
  <c r="W170" i="10" s="1"/>
  <c r="AQ170" i="10" s="1"/>
  <c r="C56" i="10"/>
  <c r="W56" i="10"/>
  <c r="AQ56" i="10" s="1"/>
  <c r="C22" i="10"/>
  <c r="V22" i="10"/>
  <c r="W22" i="10" s="1"/>
  <c r="AQ22" i="10" s="1"/>
  <c r="C157" i="10"/>
  <c r="V157" i="10"/>
  <c r="W157" i="10" s="1"/>
  <c r="AQ157" i="10" s="1"/>
  <c r="C156" i="10"/>
  <c r="V156" i="10"/>
  <c r="W156" i="10" s="1"/>
  <c r="AQ156" i="10" s="1"/>
  <c r="C155" i="10"/>
  <c r="V155" i="10"/>
  <c r="W155" i="10" s="1"/>
  <c r="AQ155" i="10" s="1"/>
  <c r="C148" i="10"/>
  <c r="V148" i="10"/>
  <c r="W148" i="10" s="1"/>
  <c r="AQ148" i="10" s="1"/>
  <c r="D4" i="20"/>
  <c r="C4" i="20"/>
  <c r="D9" i="20"/>
  <c r="C9" i="20"/>
  <c r="D8" i="20"/>
  <c r="C8" i="20"/>
  <c r="D5" i="20"/>
  <c r="C5" i="20"/>
  <c r="D3" i="20"/>
  <c r="C3" i="20"/>
  <c r="R17" i="10"/>
  <c r="C35" i="10" l="1"/>
  <c r="V35" i="10"/>
  <c r="W35" i="10" s="1"/>
  <c r="AQ35" i="10" s="1"/>
  <c r="C37" i="10"/>
  <c r="V37" i="10"/>
  <c r="W37" i="10" s="1"/>
  <c r="AQ37" i="10" s="1"/>
  <c r="C173" i="10"/>
  <c r="V173" i="10"/>
  <c r="W173" i="10" s="1"/>
  <c r="AQ173" i="10" s="1"/>
  <c r="C100" i="10"/>
  <c r="V100" i="10"/>
  <c r="W100" i="10" s="1"/>
  <c r="AQ100" i="10" s="1"/>
  <c r="C86" i="10"/>
  <c r="V86" i="10"/>
  <c r="W86" i="10" s="1"/>
  <c r="AQ86" i="10" s="1"/>
  <c r="C88" i="10"/>
  <c r="V88" i="10"/>
  <c r="W88" i="10" s="1"/>
  <c r="AQ88" i="10" s="1"/>
  <c r="C43" i="10"/>
  <c r="V43" i="10"/>
  <c r="W43" i="10" s="1"/>
  <c r="AQ43" i="10" s="1"/>
  <c r="C40" i="10"/>
  <c r="V40" i="10"/>
  <c r="W40" i="10" s="1"/>
  <c r="AQ40" i="10" s="1"/>
  <c r="E218" i="10"/>
  <c r="C193" i="10"/>
  <c r="V193" i="10"/>
  <c r="W193" i="10" s="1"/>
  <c r="AQ193" i="10" s="1"/>
  <c r="C192" i="10"/>
  <c r="V192" i="10"/>
  <c r="W192" i="10" s="1"/>
  <c r="AQ192" i="10" s="1"/>
  <c r="C152" i="10"/>
  <c r="V152" i="10"/>
  <c r="W152" i="10" s="1"/>
  <c r="AQ152" i="10" s="1"/>
  <c r="C101" i="10"/>
  <c r="V101" i="10"/>
  <c r="W101" i="10" s="1"/>
  <c r="AQ101" i="10" s="1"/>
  <c r="C85" i="10"/>
  <c r="V85" i="10"/>
  <c r="W85" i="10" s="1"/>
  <c r="AQ85" i="10" s="1"/>
  <c r="C75" i="10"/>
  <c r="V75" i="10"/>
  <c r="W75" i="10" s="1"/>
  <c r="AQ75" i="10" s="1"/>
  <c r="C42" i="10"/>
  <c r="V42" i="10"/>
  <c r="W42" i="10" s="1"/>
  <c r="AQ42" i="10" s="1"/>
  <c r="C39" i="10"/>
  <c r="V39" i="10"/>
  <c r="W39" i="10" s="1"/>
  <c r="AQ39" i="10" s="1"/>
  <c r="C196" i="10"/>
  <c r="V196" i="10"/>
  <c r="W196" i="10" s="1"/>
  <c r="AQ196" i="10" s="1"/>
  <c r="C197" i="10"/>
  <c r="V197" i="10"/>
  <c r="W197" i="10" s="1"/>
  <c r="AQ197" i="10" s="1"/>
  <c r="C175" i="10"/>
  <c r="V175" i="10"/>
  <c r="W175" i="10" s="1"/>
  <c r="AQ175" i="10" s="1"/>
  <c r="C176" i="10"/>
  <c r="V176" i="10"/>
  <c r="W176" i="10" s="1"/>
  <c r="AQ176" i="10" s="1"/>
  <c r="C109" i="10" l="1"/>
  <c r="V109" i="10"/>
  <c r="W109" i="10" s="1"/>
  <c r="AQ109" i="10" s="1"/>
  <c r="V74" i="10" l="1"/>
  <c r="V73" i="10"/>
  <c r="C127" i="10"/>
  <c r="V127" i="10"/>
  <c r="W127" i="10" s="1"/>
  <c r="AQ127" i="10" s="1"/>
  <c r="C128" i="10"/>
  <c r="V128" i="10"/>
  <c r="W128" i="10" s="1"/>
  <c r="AQ128" i="10" s="1"/>
  <c r="C130" i="10"/>
  <c r="V130" i="10"/>
  <c r="W130" i="10" s="1"/>
  <c r="AQ130" i="10" s="1"/>
  <c r="C45" i="10"/>
  <c r="V45" i="10"/>
  <c r="W45" i="10" s="1"/>
  <c r="C207" i="10"/>
  <c r="V207" i="10"/>
  <c r="W207" i="10" s="1"/>
  <c r="C33" i="10"/>
  <c r="V33" i="10"/>
  <c r="W33" i="10" s="1"/>
  <c r="C36" i="10"/>
  <c r="V36" i="10"/>
  <c r="W36" i="10" s="1"/>
  <c r="C25" i="10"/>
  <c r="V25" i="10"/>
  <c r="W25" i="10" s="1"/>
  <c r="C172" i="10"/>
  <c r="V172" i="10"/>
  <c r="W172" i="10" s="1"/>
  <c r="AQ172" i="10" s="1"/>
  <c r="C171" i="10"/>
  <c r="V171" i="10"/>
  <c r="W171" i="10" s="1"/>
  <c r="AQ171" i="10" s="1"/>
  <c r="V28" i="10"/>
  <c r="V29" i="10"/>
  <c r="V30" i="10"/>
  <c r="V32" i="10"/>
  <c r="V47" i="10"/>
  <c r="V48" i="10"/>
  <c r="V49" i="10"/>
  <c r="V57" i="10"/>
  <c r="V58" i="10"/>
  <c r="V59" i="10"/>
  <c r="V65" i="10"/>
  <c r="V64" i="10"/>
  <c r="V62" i="10"/>
  <c r="V68" i="10"/>
  <c r="V71" i="10"/>
  <c r="V72" i="10"/>
  <c r="V76" i="10"/>
  <c r="V77" i="10"/>
  <c r="V79" i="10"/>
  <c r="V80" i="10"/>
  <c r="V92" i="10"/>
  <c r="V93" i="10"/>
  <c r="V94" i="10"/>
  <c r="V96" i="10"/>
  <c r="V99" i="10"/>
  <c r="V95" i="10"/>
  <c r="V106" i="10"/>
  <c r="V104" i="10"/>
  <c r="V105" i="10"/>
  <c r="V107" i="10"/>
  <c r="V110" i="10"/>
  <c r="V108" i="10"/>
  <c r="V111" i="10"/>
  <c r="V112" i="10"/>
  <c r="V34" i="10"/>
  <c r="V115" i="10"/>
  <c r="V38" i="10"/>
  <c r="V116" i="10"/>
  <c r="V117" i="10"/>
  <c r="V118" i="10"/>
  <c r="V120" i="10"/>
  <c r="V119" i="10"/>
  <c r="V122" i="10"/>
  <c r="V124" i="10"/>
  <c r="V125" i="10"/>
  <c r="V126" i="10"/>
  <c r="V131" i="10"/>
  <c r="V132" i="10"/>
  <c r="V137" i="10"/>
  <c r="V138" i="10"/>
  <c r="V139" i="10"/>
  <c r="V140" i="10"/>
  <c r="V141" i="10"/>
  <c r="V142" i="10"/>
  <c r="V143" i="10"/>
  <c r="V144" i="10"/>
  <c r="V146" i="10"/>
  <c r="V147" i="10"/>
  <c r="V150" i="10"/>
  <c r="V151" i="10"/>
  <c r="V153" i="10"/>
  <c r="V154" i="10"/>
  <c r="V159" i="10"/>
  <c r="V158" i="10"/>
  <c r="V164" i="10"/>
  <c r="V167" i="10"/>
  <c r="V174" i="10"/>
  <c r="V177" i="10"/>
  <c r="V180" i="10"/>
  <c r="V181" i="10"/>
  <c r="V186" i="10"/>
  <c r="V187" i="10"/>
  <c r="V188" i="10"/>
  <c r="V189" i="10"/>
  <c r="V190" i="10"/>
  <c r="V191" i="10"/>
  <c r="V201" i="10"/>
  <c r="V202" i="10"/>
  <c r="W202" i="10" s="1"/>
  <c r="AQ202" i="10" s="1"/>
  <c r="V203" i="10"/>
  <c r="W203" i="10" s="1"/>
  <c r="AQ203" i="10" s="1"/>
  <c r="V206" i="10"/>
  <c r="V210" i="10"/>
  <c r="V14" i="10"/>
  <c r="V15" i="10"/>
  <c r="W15" i="10" s="1"/>
  <c r="V16" i="10"/>
  <c r="V17" i="10"/>
  <c r="V3" i="10"/>
  <c r="C202" i="10"/>
  <c r="C203" i="10"/>
  <c r="AQ45" i="10" l="1"/>
  <c r="AQ15" i="10"/>
  <c r="AQ25" i="10"/>
  <c r="AQ36" i="10"/>
  <c r="AQ33" i="10"/>
  <c r="AQ207" i="10"/>
  <c r="C180" i="10"/>
  <c r="W180" i="10"/>
  <c r="AQ180" i="10" s="1"/>
  <c r="C181" i="10"/>
  <c r="W181" i="10"/>
  <c r="AQ181" i="10" s="1"/>
  <c r="C158" i="10" l="1"/>
  <c r="W158" i="10"/>
  <c r="AQ158" i="10" s="1"/>
  <c r="C159" i="10"/>
  <c r="W159" i="10"/>
  <c r="AQ159" i="10" s="1"/>
  <c r="S151" i="10" l="1"/>
  <c r="C146" i="10"/>
  <c r="W146" i="10"/>
  <c r="AQ146" i="10" s="1"/>
  <c r="C144" i="10"/>
  <c r="W144" i="10"/>
  <c r="AQ144" i="10" s="1"/>
  <c r="C147" i="10"/>
  <c r="W147" i="10"/>
  <c r="AQ147" i="10" s="1"/>
  <c r="C143" i="10"/>
  <c r="W143" i="10"/>
  <c r="AQ143" i="10" s="1"/>
  <c r="C153" i="10"/>
  <c r="W153" i="10"/>
  <c r="AQ153" i="10" s="1"/>
  <c r="C140" i="10"/>
  <c r="W140" i="10"/>
  <c r="AQ140" i="10" s="1"/>
  <c r="C137" i="10"/>
  <c r="W137" i="10"/>
  <c r="AQ137" i="10" s="1"/>
  <c r="C138" i="10"/>
  <c r="W138" i="10"/>
  <c r="AQ138" i="10" s="1"/>
  <c r="C131" i="10"/>
  <c r="W131" i="10"/>
  <c r="AQ131" i="10" s="1"/>
  <c r="C125" i="10" l="1"/>
  <c r="W125" i="10"/>
  <c r="AQ125" i="10" s="1"/>
  <c r="C124" i="10"/>
  <c r="W124" i="10"/>
  <c r="AQ124" i="10" s="1"/>
  <c r="C121" i="10"/>
  <c r="W121" i="10"/>
  <c r="AQ121" i="10" s="1"/>
  <c r="C120" i="10"/>
  <c r="W120" i="10"/>
  <c r="AQ120" i="10" s="1"/>
  <c r="C117" i="10"/>
  <c r="W117" i="10"/>
  <c r="AQ117" i="10" s="1"/>
  <c r="C116" i="10"/>
  <c r="W116" i="10"/>
  <c r="AQ116" i="10" s="1"/>
  <c r="C34" i="10"/>
  <c r="W34" i="10"/>
  <c r="AQ34" i="10" s="1"/>
  <c r="C115" i="10"/>
  <c r="W115" i="10"/>
  <c r="AQ115" i="10" s="1"/>
  <c r="C111" i="10"/>
  <c r="W111" i="10"/>
  <c r="AQ111" i="10" s="1"/>
  <c r="C108" i="10"/>
  <c r="W108" i="10"/>
  <c r="AQ108" i="10" s="1"/>
  <c r="C110" i="10"/>
  <c r="W110" i="10"/>
  <c r="AQ110" i="10" s="1"/>
  <c r="C105" i="10"/>
  <c r="W105" i="10"/>
  <c r="AQ105" i="10" s="1"/>
  <c r="C106" i="10"/>
  <c r="W106" i="10"/>
  <c r="AQ106" i="10" s="1"/>
  <c r="C104" i="10"/>
  <c r="W104" i="10"/>
  <c r="AQ104" i="10" s="1"/>
  <c r="C95" i="10" l="1"/>
  <c r="W95" i="10"/>
  <c r="AQ95" i="10" s="1"/>
  <c r="C99" i="10"/>
  <c r="W99" i="10"/>
  <c r="AQ99" i="10" s="1"/>
  <c r="S94" i="10"/>
  <c r="C93" i="10" l="1"/>
  <c r="W93" i="10"/>
  <c r="AQ93" i="10" s="1"/>
  <c r="C94" i="10"/>
  <c r="W94" i="10"/>
  <c r="AQ94" i="10" s="1"/>
  <c r="C79" i="10"/>
  <c r="W79" i="10"/>
  <c r="AQ79" i="10" s="1"/>
  <c r="C76" i="10"/>
  <c r="W76" i="10"/>
  <c r="AQ76" i="10" s="1"/>
  <c r="C68" i="10"/>
  <c r="W68" i="10"/>
  <c r="AQ68" i="10" s="1"/>
  <c r="C57" i="10" l="1"/>
  <c r="W57" i="10"/>
  <c r="C58" i="10"/>
  <c r="W58" i="10"/>
  <c r="C29" i="10"/>
  <c r="W29" i="10"/>
  <c r="AQ29" i="10" l="1"/>
  <c r="AQ58" i="10"/>
  <c r="AQ57" i="10"/>
  <c r="C28" i="10"/>
  <c r="W28" i="10"/>
  <c r="C151" i="10"/>
  <c r="W151" i="10"/>
  <c r="AQ151" i="10" s="1"/>
  <c r="C150" i="10"/>
  <c r="W150" i="10"/>
  <c r="AQ150" i="10" s="1"/>
  <c r="AQ28" i="10" l="1"/>
  <c r="C66" i="10"/>
  <c r="W66" i="10"/>
  <c r="AQ66" i="10" s="1"/>
  <c r="W59" i="10"/>
  <c r="AQ59" i="10" s="1"/>
  <c r="W71" i="10"/>
  <c r="AQ71" i="10" s="1"/>
  <c r="W72" i="10"/>
  <c r="AQ72" i="10" s="1"/>
  <c r="W73" i="10"/>
  <c r="AQ73" i="10" s="1"/>
  <c r="W74" i="10"/>
  <c r="AQ74" i="10" s="1"/>
  <c r="W80" i="10"/>
  <c r="AQ80" i="10" s="1"/>
  <c r="W77" i="10"/>
  <c r="AQ77" i="10" s="1"/>
  <c r="W92" i="10"/>
  <c r="AQ92" i="10" s="1"/>
  <c r="W96" i="10"/>
  <c r="AQ96" i="10" s="1"/>
  <c r="W107" i="10"/>
  <c r="AQ107" i="10" s="1"/>
  <c r="W112" i="10"/>
  <c r="AQ112" i="10" s="1"/>
  <c r="W38" i="10"/>
  <c r="AQ38" i="10" s="1"/>
  <c r="W118" i="10"/>
  <c r="AQ118" i="10" s="1"/>
  <c r="W119" i="10"/>
  <c r="AQ119" i="10" s="1"/>
  <c r="W122" i="10"/>
  <c r="AQ122" i="10" s="1"/>
  <c r="W126" i="10"/>
  <c r="AQ126" i="10" s="1"/>
  <c r="W132" i="10"/>
  <c r="AQ132" i="10" s="1"/>
  <c r="W139" i="10"/>
  <c r="AQ139" i="10" s="1"/>
  <c r="W141" i="10"/>
  <c r="AQ141" i="10" s="1"/>
  <c r="W142" i="10"/>
  <c r="AQ142" i="10" s="1"/>
  <c r="W154" i="10"/>
  <c r="AQ154" i="10" s="1"/>
  <c r="W160" i="10"/>
  <c r="AQ160" i="10" s="1"/>
  <c r="W164" i="10"/>
  <c r="AQ164" i="10" s="1"/>
  <c r="W167" i="10"/>
  <c r="AQ167" i="10" s="1"/>
  <c r="W186" i="10"/>
  <c r="AQ186" i="10" s="1"/>
  <c r="W187" i="10"/>
  <c r="AQ187" i="10" s="1"/>
  <c r="W188" i="10"/>
  <c r="AQ188" i="10" s="1"/>
  <c r="W189" i="10"/>
  <c r="AQ189" i="10" s="1"/>
  <c r="W190" i="10"/>
  <c r="AQ190" i="10" s="1"/>
  <c r="W174" i="10"/>
  <c r="AQ174" i="10" s="1"/>
  <c r="W177" i="10"/>
  <c r="AQ177" i="10" s="1"/>
  <c r="W191" i="10"/>
  <c r="AQ191" i="10" s="1"/>
  <c r="W201" i="10"/>
  <c r="AQ201" i="10" s="1"/>
  <c r="W206" i="10"/>
  <c r="AQ206" i="10" s="1"/>
  <c r="W210" i="10"/>
  <c r="AQ210" i="10" s="1"/>
  <c r="W32" i="10"/>
  <c r="W47" i="10"/>
  <c r="W49" i="10"/>
  <c r="C32" i="10"/>
  <c r="C30" i="10"/>
  <c r="W30" i="10"/>
  <c r="AQ47" i="10" l="1"/>
  <c r="AQ32" i="10"/>
  <c r="AQ30" i="10"/>
  <c r="AQ49" i="10"/>
  <c r="AQ48" i="10"/>
  <c r="C47" i="10"/>
  <c r="C59" i="10" l="1"/>
  <c r="C65" i="10"/>
  <c r="C64" i="10"/>
  <c r="C62" i="10"/>
  <c r="C71" i="10"/>
  <c r="C72" i="10"/>
  <c r="C73" i="10"/>
  <c r="C74" i="10"/>
  <c r="C80" i="10"/>
  <c r="C77" i="10"/>
  <c r="C92" i="10"/>
  <c r="C96" i="10"/>
  <c r="C107" i="10"/>
  <c r="C112" i="10"/>
  <c r="C38" i="10"/>
  <c r="C118" i="10"/>
  <c r="C119" i="10"/>
  <c r="C122" i="10"/>
  <c r="C126" i="10"/>
  <c r="C132" i="10"/>
  <c r="C139" i="10"/>
  <c r="C141" i="10"/>
  <c r="C142" i="10"/>
  <c r="C154" i="10"/>
  <c r="C160" i="10"/>
  <c r="C164" i="10"/>
  <c r="C167" i="10"/>
  <c r="C186" i="10"/>
  <c r="C187" i="10"/>
  <c r="C188" i="10"/>
  <c r="C189" i="10"/>
  <c r="C190" i="10"/>
  <c r="C174" i="10"/>
  <c r="C177" i="10"/>
  <c r="C191" i="10"/>
  <c r="C201" i="10"/>
  <c r="C206" i="10"/>
  <c r="C210" i="10"/>
  <c r="W65" i="10"/>
  <c r="AQ65" i="10" s="1"/>
  <c r="W64" i="10"/>
  <c r="AQ64" i="10" s="1"/>
  <c r="W62" i="10"/>
  <c r="AQ62" i="10" s="1"/>
  <c r="C49" i="10"/>
  <c r="C48" i="10"/>
  <c r="C5" i="10"/>
  <c r="C6" i="10"/>
  <c r="C10" i="10"/>
  <c r="C13" i="10"/>
  <c r="C14" i="10"/>
  <c r="C15" i="10"/>
  <c r="C16" i="10"/>
  <c r="C17" i="10"/>
  <c r="C23" i="10"/>
  <c r="V5" i="10"/>
  <c r="W5" i="10" s="1"/>
  <c r="V6" i="10"/>
  <c r="W6" i="10" s="1"/>
  <c r="V10" i="10"/>
  <c r="W10" i="10" s="1"/>
  <c r="V13" i="10"/>
  <c r="W13" i="10" s="1"/>
  <c r="W14" i="10"/>
  <c r="W16" i="10"/>
  <c r="W17" i="10"/>
  <c r="V23" i="10"/>
  <c r="W23" i="10" s="1"/>
  <c r="C3" i="10"/>
  <c r="AQ13" i="10" l="1"/>
  <c r="AQ5" i="10"/>
  <c r="AQ6" i="10"/>
  <c r="AQ14" i="10"/>
  <c r="AQ17" i="10"/>
  <c r="AQ10" i="10"/>
  <c r="AQ23" i="10"/>
  <c r="AQ16" i="10"/>
  <c r="W3" i="10"/>
  <c r="C218" i="10"/>
  <c r="C219" i="10"/>
  <c r="C220" i="10"/>
  <c r="K2" i="8"/>
  <c r="L2" i="8" s="1"/>
  <c r="L2" i="6"/>
  <c r="M2" i="6" s="1"/>
  <c r="L3" i="6"/>
  <c r="M3" i="6" s="1"/>
  <c r="L4" i="6"/>
  <c r="M4" i="6" s="1"/>
  <c r="L5" i="6"/>
  <c r="M5" i="6" s="1"/>
  <c r="L6" i="6"/>
  <c r="L7" i="6"/>
  <c r="L8" i="6"/>
  <c r="L9" i="6"/>
  <c r="L10" i="6"/>
  <c r="L11" i="6"/>
  <c r="L12" i="6"/>
  <c r="L13" i="6"/>
  <c r="L14" i="6"/>
  <c r="L15" i="6"/>
  <c r="L16" i="6"/>
  <c r="L17" i="6"/>
  <c r="L18" i="6"/>
  <c r="L19" i="6"/>
  <c r="L20" i="6"/>
  <c r="L21" i="6"/>
  <c r="L22" i="6"/>
  <c r="L23" i="6"/>
  <c r="L24" i="6"/>
  <c r="L25" i="6"/>
  <c r="L26" i="6"/>
  <c r="L27" i="6"/>
  <c r="L28" i="6"/>
  <c r="L29" i="6"/>
  <c r="L30" i="6"/>
  <c r="L31" i="6"/>
  <c r="L32" i="6"/>
  <c r="L33" i="6"/>
  <c r="L34" i="6"/>
  <c r="L35" i="6"/>
  <c r="L36" i="6"/>
  <c r="L37" i="6"/>
  <c r="L38" i="6"/>
  <c r="L39" i="6"/>
  <c r="L40" i="6"/>
  <c r="L41" i="6"/>
  <c r="L42" i="6"/>
  <c r="L43" i="6"/>
  <c r="L44" i="6"/>
  <c r="L45" i="6"/>
  <c r="L46" i="6"/>
  <c r="L47" i="6"/>
  <c r="L48" i="6"/>
  <c r="L49" i="6"/>
  <c r="L50" i="6"/>
  <c r="L51" i="6"/>
  <c r="L52" i="6"/>
  <c r="L53" i="6"/>
  <c r="L54" i="6"/>
  <c r="L55" i="6"/>
  <c r="L56" i="6"/>
  <c r="L57" i="6"/>
  <c r="L58" i="6"/>
  <c r="L59" i="6"/>
  <c r="L60" i="6"/>
  <c r="L61" i="6"/>
  <c r="L62" i="6"/>
  <c r="L63" i="6"/>
  <c r="L64" i="6"/>
  <c r="L65" i="6"/>
  <c r="L66" i="6"/>
  <c r="L67" i="6"/>
  <c r="L68" i="6"/>
  <c r="L69" i="6"/>
  <c r="L70" i="6"/>
  <c r="L71" i="6"/>
  <c r="L72" i="6"/>
  <c r="L73" i="6"/>
  <c r="L74" i="6"/>
  <c r="L75" i="6"/>
  <c r="L76" i="6"/>
  <c r="L77" i="6"/>
  <c r="L78" i="6"/>
  <c r="L79" i="6"/>
  <c r="L80" i="6"/>
  <c r="L81" i="6"/>
  <c r="L82" i="6"/>
  <c r="L83" i="6"/>
  <c r="L84" i="6"/>
  <c r="L85" i="6"/>
  <c r="L86" i="6"/>
  <c r="L87" i="6"/>
  <c r="L88" i="6"/>
  <c r="L89" i="6"/>
  <c r="L90" i="6"/>
  <c r="L91" i="6"/>
  <c r="L92" i="6"/>
  <c r="L93" i="6"/>
  <c r="L94" i="6"/>
  <c r="L95" i="6"/>
  <c r="L96" i="6"/>
  <c r="L97" i="6"/>
  <c r="L98" i="6"/>
  <c r="L99" i="6"/>
  <c r="L100" i="6"/>
  <c r="L101" i="6"/>
  <c r="L102" i="6"/>
  <c r="L103" i="6"/>
  <c r="L104" i="6"/>
  <c r="L105" i="6"/>
  <c r="L106" i="6"/>
  <c r="L107" i="6"/>
  <c r="L108" i="6"/>
  <c r="L109" i="6"/>
  <c r="L110" i="6"/>
  <c r="L111" i="6"/>
  <c r="L112" i="6"/>
  <c r="L113" i="6"/>
  <c r="L114" i="6"/>
  <c r="L115" i="6"/>
  <c r="L116" i="6"/>
  <c r="L117" i="6"/>
  <c r="L118" i="6"/>
  <c r="L119" i="6"/>
  <c r="L120" i="6"/>
  <c r="L121" i="6"/>
  <c r="L122" i="6"/>
  <c r="L123" i="6"/>
  <c r="L124" i="6"/>
  <c r="L125" i="6"/>
  <c r="L126" i="6"/>
  <c r="L127" i="6"/>
  <c r="L128" i="6"/>
  <c r="L129" i="6"/>
  <c r="L130" i="6"/>
  <c r="L131" i="6"/>
  <c r="L132" i="6"/>
  <c r="L133" i="6"/>
  <c r="L134" i="6"/>
  <c r="L135" i="6"/>
  <c r="L136" i="6"/>
  <c r="L137" i="6"/>
  <c r="L138" i="6"/>
  <c r="L139" i="6"/>
  <c r="L140" i="6"/>
  <c r="L141" i="6"/>
  <c r="L142" i="6"/>
  <c r="L143" i="6"/>
  <c r="L144" i="6"/>
  <c r="L145" i="6"/>
  <c r="L146" i="6"/>
  <c r="L147" i="6"/>
  <c r="L148" i="6"/>
  <c r="L149" i="6"/>
  <c r="L150" i="6"/>
  <c r="L151" i="6"/>
  <c r="L152" i="6"/>
  <c r="L153" i="6"/>
  <c r="L154" i="6"/>
  <c r="L155" i="6"/>
  <c r="L156" i="6"/>
  <c r="L157" i="6"/>
  <c r="L158" i="6"/>
  <c r="L159" i="6"/>
  <c r="L160" i="6"/>
  <c r="L161" i="6"/>
  <c r="L162" i="6"/>
  <c r="L163" i="6"/>
  <c r="L164" i="6"/>
  <c r="L165" i="6"/>
  <c r="L166" i="6"/>
  <c r="L167" i="6"/>
  <c r="L168" i="6"/>
  <c r="L169" i="6"/>
  <c r="L170" i="6"/>
  <c r="L171" i="6"/>
  <c r="L172" i="6"/>
  <c r="L173" i="6"/>
  <c r="L174" i="6"/>
  <c r="L175" i="6"/>
  <c r="L176" i="6"/>
  <c r="L177" i="6"/>
  <c r="L178" i="6"/>
  <c r="L179" i="6"/>
  <c r="L180" i="6"/>
  <c r="L181" i="6"/>
  <c r="L182" i="6"/>
  <c r="L183" i="6"/>
  <c r="L184" i="6"/>
  <c r="L185" i="6"/>
  <c r="L186" i="6"/>
  <c r="L187" i="6"/>
  <c r="L188" i="6"/>
  <c r="L189" i="6"/>
  <c r="L190" i="6"/>
  <c r="L191" i="6"/>
  <c r="L192" i="6"/>
  <c r="L193" i="6"/>
  <c r="L194" i="6"/>
  <c r="L195" i="6"/>
  <c r="L196" i="6"/>
  <c r="L197" i="6"/>
  <c r="L198" i="6"/>
  <c r="L199" i="6"/>
  <c r="L200" i="6"/>
  <c r="L201" i="6"/>
  <c r="L202" i="6"/>
  <c r="L203" i="6"/>
  <c r="L204" i="6"/>
  <c r="L205" i="6"/>
  <c r="L206" i="6"/>
  <c r="L207" i="6"/>
  <c r="L208" i="6"/>
  <c r="L209" i="6"/>
  <c r="L210" i="6"/>
  <c r="L211" i="6"/>
  <c r="L212" i="6"/>
  <c r="L213" i="6"/>
  <c r="L214" i="6"/>
  <c r="L215" i="6"/>
  <c r="L216" i="6"/>
  <c r="L217" i="6"/>
  <c r="L218" i="6"/>
  <c r="L219" i="6"/>
  <c r="L220" i="6"/>
  <c r="L221" i="6"/>
  <c r="L222" i="6"/>
  <c r="L223" i="6"/>
  <c r="L224" i="6"/>
  <c r="L225" i="6"/>
  <c r="L226" i="6"/>
  <c r="L227" i="6"/>
  <c r="L228" i="6"/>
  <c r="L229" i="6"/>
  <c r="L230" i="6"/>
  <c r="L231" i="6"/>
  <c r="L232" i="6"/>
  <c r="L233" i="6"/>
  <c r="L234" i="6"/>
  <c r="L235" i="6"/>
  <c r="L236" i="6"/>
  <c r="L237" i="6"/>
  <c r="L238" i="6"/>
  <c r="L239" i="6"/>
  <c r="L240" i="6"/>
  <c r="L241" i="6"/>
  <c r="L242" i="6"/>
  <c r="L243" i="6"/>
  <c r="L244" i="6"/>
  <c r="L245" i="6"/>
  <c r="L246" i="6"/>
  <c r="L247" i="6"/>
  <c r="L248" i="6"/>
  <c r="L249" i="6"/>
  <c r="L250" i="6"/>
  <c r="L251" i="6"/>
  <c r="L252" i="6"/>
  <c r="L253" i="6"/>
  <c r="L254" i="6"/>
  <c r="L255" i="6"/>
  <c r="L256" i="6"/>
  <c r="L257" i="6"/>
  <c r="L258" i="6"/>
  <c r="L259" i="6"/>
  <c r="L260" i="6"/>
  <c r="L261" i="6"/>
  <c r="L262" i="6"/>
  <c r="L263" i="6"/>
  <c r="L264" i="6"/>
  <c r="L265" i="6"/>
  <c r="L266" i="6"/>
  <c r="L267" i="6"/>
  <c r="L268" i="6"/>
  <c r="L269" i="6"/>
  <c r="L270" i="6"/>
  <c r="L271" i="6"/>
  <c r="L272" i="6"/>
  <c r="L273" i="6"/>
  <c r="L274" i="6"/>
  <c r="L275" i="6"/>
  <c r="L276" i="6"/>
  <c r="L277" i="6"/>
  <c r="L278" i="6"/>
  <c r="L279" i="6"/>
  <c r="L280" i="6"/>
  <c r="L281" i="6"/>
  <c r="L282" i="6"/>
  <c r="L283" i="6"/>
  <c r="L284" i="6"/>
  <c r="L285" i="6"/>
  <c r="L286" i="6"/>
  <c r="L287" i="6"/>
  <c r="L288" i="6"/>
  <c r="L289" i="6"/>
  <c r="L290" i="6"/>
  <c r="L291" i="6"/>
  <c r="L292" i="6"/>
  <c r="L293" i="6"/>
  <c r="L294" i="6"/>
  <c r="L295" i="6"/>
  <c r="L296" i="6"/>
  <c r="L297" i="6"/>
  <c r="L298" i="6"/>
  <c r="P3" i="6"/>
  <c r="P2" i="6"/>
  <c r="A37" i="8"/>
  <c r="A299" i="6"/>
  <c r="B392" i="2"/>
  <c r="B77" i="1"/>
  <c r="AQ3" i="10" l="1"/>
  <c r="I30" i="23" l="1"/>
  <c r="I31" i="23"/>
  <c r="I28" i="23"/>
  <c r="I29" i="23"/>
  <c r="B4" i="16" a="1"/>
  <c r="B4" i="16" l="1"/>
  <c r="AB19" i="16"/>
  <c r="H19" i="16"/>
  <c r="AE18" i="16"/>
  <c r="K18" i="16"/>
  <c r="AH17" i="16"/>
  <c r="N17" i="16"/>
  <c r="AK16" i="16"/>
  <c r="Q16" i="16"/>
  <c r="AN15" i="16"/>
  <c r="T15" i="16"/>
  <c r="AQ14" i="16"/>
  <c r="W14" i="16"/>
  <c r="C14" i="16"/>
  <c r="Z13" i="16"/>
  <c r="F13" i="16"/>
  <c r="AC12" i="16"/>
  <c r="I12" i="16"/>
  <c r="AF11" i="16"/>
  <c r="L11" i="16"/>
  <c r="AI10" i="16"/>
  <c r="O10" i="16"/>
  <c r="AL9" i="16"/>
  <c r="R9" i="16"/>
  <c r="AO8" i="16"/>
  <c r="U8" i="16"/>
  <c r="AR7" i="16"/>
  <c r="X7" i="16"/>
  <c r="D7" i="16"/>
  <c r="AA6" i="16"/>
  <c r="G6" i="16"/>
  <c r="AD5" i="16"/>
  <c r="J5" i="16"/>
  <c r="AG4" i="16"/>
  <c r="M4" i="16"/>
  <c r="AA19" i="16"/>
  <c r="G19" i="16"/>
  <c r="AD18" i="16"/>
  <c r="J18" i="16"/>
  <c r="AG17" i="16"/>
  <c r="M17" i="16"/>
  <c r="AJ16" i="16"/>
  <c r="P16" i="16"/>
  <c r="AM15" i="16"/>
  <c r="S15" i="16"/>
  <c r="AP14" i="16"/>
  <c r="V14" i="16"/>
  <c r="B14" i="16"/>
  <c r="Y13" i="16"/>
  <c r="E13" i="16"/>
  <c r="AB12" i="16"/>
  <c r="H12" i="16"/>
  <c r="AE11" i="16"/>
  <c r="K11" i="16"/>
  <c r="AH10" i="16"/>
  <c r="N10" i="16"/>
  <c r="AK9" i="16"/>
  <c r="Q9" i="16"/>
  <c r="AN8" i="16"/>
  <c r="T8" i="16"/>
  <c r="AQ7" i="16"/>
  <c r="W7" i="16"/>
  <c r="C7" i="16"/>
  <c r="Z6" i="16"/>
  <c r="F6" i="16"/>
  <c r="AC5" i="16"/>
  <c r="I5" i="16"/>
  <c r="AF4" i="16"/>
  <c r="L4" i="16"/>
  <c r="Z19" i="16"/>
  <c r="F19" i="16"/>
  <c r="AC18" i="16"/>
  <c r="I18" i="16"/>
  <c r="AF17" i="16"/>
  <c r="L17" i="16"/>
  <c r="AI16" i="16"/>
  <c r="O16" i="16"/>
  <c r="AL15" i="16"/>
  <c r="R15" i="16"/>
  <c r="AO14" i="16"/>
  <c r="U14" i="16"/>
  <c r="AR13" i="16"/>
  <c r="X13" i="16"/>
  <c r="D13" i="16"/>
  <c r="AA12" i="16"/>
  <c r="G12" i="16"/>
  <c r="AR19" i="16"/>
  <c r="X19" i="16"/>
  <c r="D19" i="16"/>
  <c r="AA18" i="16"/>
  <c r="G18" i="16"/>
  <c r="AD17" i="16"/>
  <c r="J17" i="16"/>
  <c r="AG16" i="16"/>
  <c r="M16" i="16"/>
  <c r="AJ15" i="16"/>
  <c r="P15" i="16"/>
  <c r="AM14" i="16"/>
  <c r="S14" i="16"/>
  <c r="AP13" i="16"/>
  <c r="V13" i="16"/>
  <c r="B13" i="16"/>
  <c r="Y12" i="16"/>
  <c r="E12" i="16"/>
  <c r="AB11" i="16"/>
  <c r="H11" i="16"/>
  <c r="AE10" i="16"/>
  <c r="K10" i="16"/>
  <c r="AH9" i="16"/>
  <c r="N9" i="16"/>
  <c r="AK8" i="16"/>
  <c r="Q8" i="16"/>
  <c r="AN7" i="16"/>
  <c r="T7" i="16"/>
  <c r="AQ6" i="16"/>
  <c r="W6" i="16"/>
  <c r="C6" i="16"/>
  <c r="Z5" i="16"/>
  <c r="F5" i="16"/>
  <c r="AC4" i="16"/>
  <c r="I4" i="16"/>
  <c r="S7" i="16"/>
  <c r="V6" i="16"/>
  <c r="Y5" i="16"/>
  <c r="E5" i="16"/>
  <c r="H4" i="16"/>
  <c r="AC10" i="16"/>
  <c r="AI8" i="16"/>
  <c r="R7" i="16"/>
  <c r="AR5" i="16"/>
  <c r="AA4" i="16"/>
  <c r="AK7" i="16"/>
  <c r="AQ19" i="16"/>
  <c r="W19" i="16"/>
  <c r="C19" i="16"/>
  <c r="Z18" i="16"/>
  <c r="F18" i="16"/>
  <c r="AC17" i="16"/>
  <c r="I17" i="16"/>
  <c r="AF16" i="16"/>
  <c r="L16" i="16"/>
  <c r="AI15" i="16"/>
  <c r="O15" i="16"/>
  <c r="AL14" i="16"/>
  <c r="R14" i="16"/>
  <c r="AO13" i="16"/>
  <c r="U13" i="16"/>
  <c r="AR12" i="16"/>
  <c r="X12" i="16"/>
  <c r="D12" i="16"/>
  <c r="AA11" i="16"/>
  <c r="G11" i="16"/>
  <c r="AD10" i="16"/>
  <c r="J10" i="16"/>
  <c r="AG9" i="16"/>
  <c r="M9" i="16"/>
  <c r="AJ8" i="16"/>
  <c r="P8" i="16"/>
  <c r="AM7" i="16"/>
  <c r="AP6" i="16"/>
  <c r="B6" i="16"/>
  <c r="AB4" i="16"/>
  <c r="AF9" i="16"/>
  <c r="AL7" i="16"/>
  <c r="U6" i="16"/>
  <c r="D5" i="16"/>
  <c r="G4" i="16"/>
  <c r="Q7" i="16"/>
  <c r="T6" i="16"/>
  <c r="AP19" i="16"/>
  <c r="V19" i="16"/>
  <c r="B19" i="16"/>
  <c r="Y18" i="16"/>
  <c r="E18" i="16"/>
  <c r="AB17" i="16"/>
  <c r="H17" i="16"/>
  <c r="AE16" i="16"/>
  <c r="K16" i="16"/>
  <c r="AH15" i="16"/>
  <c r="N15" i="16"/>
  <c r="AK14" i="16"/>
  <c r="Q14" i="16"/>
  <c r="AN13" i="16"/>
  <c r="T13" i="16"/>
  <c r="AQ12" i="16"/>
  <c r="W12" i="16"/>
  <c r="C12" i="16"/>
  <c r="Z11" i="16"/>
  <c r="F11" i="16"/>
  <c r="I10" i="16"/>
  <c r="L9" i="16"/>
  <c r="O8" i="16"/>
  <c r="AO6" i="16"/>
  <c r="X5" i="16"/>
  <c r="AO19" i="16"/>
  <c r="U19" i="16"/>
  <c r="AR18" i="16"/>
  <c r="X18" i="16"/>
  <c r="D18" i="16"/>
  <c r="AA17" i="16"/>
  <c r="G17" i="16"/>
  <c r="AD16" i="16"/>
  <c r="J16" i="16"/>
  <c r="AG15" i="16"/>
  <c r="M15" i="16"/>
  <c r="AJ14" i="16"/>
  <c r="P14" i="16"/>
  <c r="AM13" i="16"/>
  <c r="S13" i="16"/>
  <c r="AP12" i="16"/>
  <c r="V12" i="16"/>
  <c r="B12" i="16"/>
  <c r="Y11" i="16"/>
  <c r="E11" i="16"/>
  <c r="AB10" i="16"/>
  <c r="H10" i="16"/>
  <c r="AE9" i="16"/>
  <c r="K9" i="16"/>
  <c r="AH8" i="16"/>
  <c r="N8" i="16"/>
  <c r="AN6" i="16"/>
  <c r="AN19" i="16"/>
  <c r="T19" i="16"/>
  <c r="AQ18" i="16"/>
  <c r="W18" i="16"/>
  <c r="C18" i="16"/>
  <c r="Z17" i="16"/>
  <c r="F17" i="16"/>
  <c r="AC16" i="16"/>
  <c r="I16" i="16"/>
  <c r="AF15" i="16"/>
  <c r="L15" i="16"/>
  <c r="AI14" i="16"/>
  <c r="O14" i="16"/>
  <c r="AL13" i="16"/>
  <c r="R13" i="16"/>
  <c r="AO12" i="16"/>
  <c r="U12" i="16"/>
  <c r="AR11" i="16"/>
  <c r="AM19" i="16"/>
  <c r="S19" i="16"/>
  <c r="AP18" i="16"/>
  <c r="V18" i="16"/>
  <c r="B18" i="16"/>
  <c r="Y17" i="16"/>
  <c r="AL19" i="16"/>
  <c r="AK19" i="16"/>
  <c r="Q19" i="16"/>
  <c r="AN18" i="16"/>
  <c r="T18" i="16"/>
  <c r="AQ17" i="16"/>
  <c r="W17" i="16"/>
  <c r="C17" i="16"/>
  <c r="Z16" i="16"/>
  <c r="F16" i="16"/>
  <c r="J19" i="16"/>
  <c r="M18" i="16"/>
  <c r="P17" i="16"/>
  <c r="U16" i="16"/>
  <c r="AA15" i="16"/>
  <c r="AH14" i="16"/>
  <c r="F14" i="16"/>
  <c r="M13" i="16"/>
  <c r="T12" i="16"/>
  <c r="AI11" i="16"/>
  <c r="C11" i="16"/>
  <c r="T10" i="16"/>
  <c r="AI9" i="16"/>
  <c r="E9" i="16"/>
  <c r="V8" i="16"/>
  <c r="AG7" i="16"/>
  <c r="G7" i="16"/>
  <c r="R6" i="16"/>
  <c r="AJ5" i="16"/>
  <c r="K5" i="16"/>
  <c r="X4" i="16"/>
  <c r="AI5" i="16"/>
  <c r="W4" i="16"/>
  <c r="D14" i="16"/>
  <c r="C9" i="16"/>
  <c r="P6" i="16"/>
  <c r="V4" i="16"/>
  <c r="J13" i="16"/>
  <c r="AQ10" i="16"/>
  <c r="AB9" i="16"/>
  <c r="M8" i="16"/>
  <c r="O6" i="16"/>
  <c r="C5" i="16"/>
  <c r="AJ19" i="16"/>
  <c r="AP17" i="16"/>
  <c r="W15" i="16"/>
  <c r="AK13" i="16"/>
  <c r="P12" i="16"/>
  <c r="P10" i="16"/>
  <c r="AR8" i="16"/>
  <c r="AR6" i="16"/>
  <c r="B5" i="16"/>
  <c r="T4" i="16"/>
  <c r="AL18" i="16"/>
  <c r="AC14" i="16"/>
  <c r="M10" i="16"/>
  <c r="AE5" i="16"/>
  <c r="AR16" i="16"/>
  <c r="W11" i="16"/>
  <c r="AA7" i="16"/>
  <c r="R4" i="16"/>
  <c r="AM17" i="16"/>
  <c r="M12" i="16"/>
  <c r="X9" i="16"/>
  <c r="AK6" i="16"/>
  <c r="Q4" i="16"/>
  <c r="AP16" i="16"/>
  <c r="K15" i="16"/>
  <c r="U11" i="16"/>
  <c r="AL8" i="16"/>
  <c r="J6" i="16"/>
  <c r="AH18" i="16"/>
  <c r="AK10" i="16"/>
  <c r="V5" i="16"/>
  <c r="AG18" i="16"/>
  <c r="AJ10" i="16"/>
  <c r="AM4" i="16"/>
  <c r="AI17" i="16"/>
  <c r="AE8" i="16"/>
  <c r="U18" i="16"/>
  <c r="AR9" i="16"/>
  <c r="AJ4" i="16"/>
  <c r="S18" i="16"/>
  <c r="O9" i="16"/>
  <c r="AI4" i="16"/>
  <c r="D15" i="16"/>
  <c r="AP9" i="16"/>
  <c r="AH4" i="16"/>
  <c r="Y16" i="16"/>
  <c r="AB6" i="16"/>
  <c r="AD15" i="16"/>
  <c r="AJ7" i="16"/>
  <c r="H14" i="16"/>
  <c r="V16" i="16"/>
  <c r="AH7" i="16"/>
  <c r="I19" i="16"/>
  <c r="L18" i="16"/>
  <c r="O17" i="16"/>
  <c r="T16" i="16"/>
  <c r="Z15" i="16"/>
  <c r="AG14" i="16"/>
  <c r="E14" i="16"/>
  <c r="L13" i="16"/>
  <c r="S12" i="16"/>
  <c r="AH11" i="16"/>
  <c r="B11" i="16"/>
  <c r="S10" i="16"/>
  <c r="AD9" i="16"/>
  <c r="D9" i="16"/>
  <c r="S8" i="16"/>
  <c r="AF7" i="16"/>
  <c r="F7" i="16"/>
  <c r="Q6" i="16"/>
  <c r="H5" i="16"/>
  <c r="R12" i="16"/>
  <c r="AG11" i="16"/>
  <c r="AR10" i="16"/>
  <c r="AC9" i="16"/>
  <c r="R8" i="16"/>
  <c r="AE7" i="16"/>
  <c r="E7" i="16"/>
  <c r="AH5" i="16"/>
  <c r="G5" i="16"/>
  <c r="AQ13" i="16"/>
  <c r="AD11" i="16"/>
  <c r="Q10" i="16"/>
  <c r="B9" i="16"/>
  <c r="B7" i="16"/>
  <c r="AG5" i="16"/>
  <c r="U4" i="16"/>
  <c r="AM18" i="16"/>
  <c r="D17" i="16"/>
  <c r="AD14" i="16"/>
  <c r="I13" i="16"/>
  <c r="AP10" i="16"/>
  <c r="AA9" i="16"/>
  <c r="L8" i="16"/>
  <c r="AF5" i="16"/>
  <c r="AI19" i="16"/>
  <c r="H16" i="16"/>
  <c r="AJ13" i="16"/>
  <c r="X11" i="16"/>
  <c r="Z9" i="16"/>
  <c r="AB7" i="16"/>
  <c r="AR4" i="16"/>
  <c r="AH19" i="16"/>
  <c r="U15" i="16"/>
  <c r="N12" i="16"/>
  <c r="Y9" i="16"/>
  <c r="AL6" i="16"/>
  <c r="AQ4" i="16"/>
  <c r="AJ18" i="16"/>
  <c r="Q15" i="16"/>
  <c r="V11" i="16"/>
  <c r="I8" i="16"/>
  <c r="AA5" i="16"/>
  <c r="AF19" i="16"/>
  <c r="AG13" i="16"/>
  <c r="F10" i="16"/>
  <c r="W5" i="16"/>
  <c r="AK17" i="16"/>
  <c r="AM12" i="16"/>
  <c r="V9" i="16"/>
  <c r="AN4" i="16"/>
  <c r="I15" i="16"/>
  <c r="J12" i="16"/>
  <c r="U9" i="16"/>
  <c r="H6" i="16"/>
  <c r="AM16" i="16"/>
  <c r="E8" i="16"/>
  <c r="X17" i="16"/>
  <c r="P9" i="16"/>
  <c r="V17" i="16"/>
  <c r="M7" i="16"/>
  <c r="U17" i="16"/>
  <c r="AA8" i="16"/>
  <c r="C15" i="16"/>
  <c r="Z8" i="16"/>
  <c r="P18" i="16"/>
  <c r="AN9" i="16"/>
  <c r="AD4" i="16"/>
  <c r="L19" i="16"/>
  <c r="X6" i="16"/>
  <c r="G14" i="16"/>
  <c r="W8" i="16"/>
  <c r="E19" i="16"/>
  <c r="H18" i="16"/>
  <c r="K17" i="16"/>
  <c r="S16" i="16"/>
  <c r="Y15" i="16"/>
  <c r="AF14" i="16"/>
  <c r="K13" i="16"/>
  <c r="R10" i="16"/>
  <c r="N16" i="16"/>
  <c r="AC7" i="16"/>
  <c r="B17" i="16"/>
  <c r="O12" i="16"/>
  <c r="K8" i="16"/>
  <c r="S4" i="16"/>
  <c r="AK18" i="16"/>
  <c r="AI13" i="16"/>
  <c r="AP8" i="16"/>
  <c r="AB5" i="16"/>
  <c r="AQ16" i="16"/>
  <c r="AA14" i="16"/>
  <c r="AM10" i="16"/>
  <c r="AM8" i="16"/>
  <c r="K6" i="16"/>
  <c r="AI18" i="16"/>
  <c r="AN12" i="16"/>
  <c r="Y7" i="16"/>
  <c r="AE19" i="16"/>
  <c r="K12" i="16"/>
  <c r="AI6" i="16"/>
  <c r="B16" i="16"/>
  <c r="S11" i="16"/>
  <c r="F8" i="16"/>
  <c r="AC19" i="16"/>
  <c r="F12" i="16"/>
  <c r="AG6" i="16"/>
  <c r="AK4" i="16"/>
  <c r="AH16" i="16"/>
  <c r="AE6" i="16"/>
  <c r="AA13" i="16"/>
  <c r="AD6" i="16"/>
  <c r="R18" i="16"/>
  <c r="D4" i="16"/>
  <c r="M11" i="16"/>
  <c r="O5" i="16"/>
  <c r="B15" i="16"/>
  <c r="AM5" i="16"/>
  <c r="O13" i="16"/>
  <c r="I7" i="16"/>
  <c r="AN14" i="16"/>
  <c r="L5" i="16"/>
  <c r="AO18" i="16"/>
  <c r="AR17" i="16"/>
  <c r="E17" i="16"/>
  <c r="R16" i="16"/>
  <c r="X15" i="16"/>
  <c r="AE14" i="16"/>
  <c r="Q12" i="16"/>
  <c r="AD7" i="16"/>
  <c r="AC11" i="16"/>
  <c r="N6" i="16"/>
  <c r="AO17" i="16"/>
  <c r="V15" i="16"/>
  <c r="H13" i="16"/>
  <c r="AO10" i="16"/>
  <c r="AQ8" i="16"/>
  <c r="AM6" i="16"/>
  <c r="AN17" i="16"/>
  <c r="G16" i="16"/>
  <c r="AB14" i="16"/>
  <c r="G13" i="16"/>
  <c r="AN10" i="16"/>
  <c r="J8" i="16"/>
  <c r="L6" i="16"/>
  <c r="AG19" i="16"/>
  <c r="AH13" i="16"/>
  <c r="G10" i="16"/>
  <c r="Z7" i="16"/>
  <c r="AP4" i="16"/>
  <c r="AL17" i="16"/>
  <c r="L12" i="16"/>
  <c r="H8" i="16"/>
  <c r="J15" i="16"/>
  <c r="T11" i="16"/>
  <c r="G8" i="16"/>
  <c r="I6" i="16"/>
  <c r="AD19" i="16"/>
  <c r="AL12" i="16"/>
  <c r="H15" i="16"/>
  <c r="AG10" i="16"/>
  <c r="AL4" i="16"/>
  <c r="J4" i="16"/>
  <c r="M14" i="16"/>
  <c r="C8" i="16"/>
  <c r="P19" i="16"/>
  <c r="AQ9" i="16"/>
  <c r="Q5" i="16"/>
  <c r="O19" i="16"/>
  <c r="J9" i="16"/>
  <c r="AF12" i="16"/>
  <c r="AO7" i="16"/>
  <c r="M19" i="16"/>
  <c r="W10" i="16"/>
  <c r="R17" i="16"/>
  <c r="AL5" i="16"/>
  <c r="Q17" i="16"/>
  <c r="Y4" i="16"/>
  <c r="E16" i="16"/>
  <c r="Z14" i="16"/>
  <c r="P4" i="16"/>
  <c r="Y14" i="16"/>
  <c r="E10" i="16"/>
  <c r="V7" i="16"/>
  <c r="AJ17" i="16"/>
  <c r="U5" i="16"/>
  <c r="AD13" i="16"/>
  <c r="T5" i="16"/>
  <c r="AI12" i="16"/>
  <c r="R5" i="16"/>
  <c r="O11" i="16"/>
  <c r="AA16" i="16"/>
  <c r="P5" i="16"/>
  <c r="I9" i="16"/>
  <c r="AL11" i="16"/>
  <c r="G9" i="16"/>
  <c r="N18" i="16"/>
  <c r="M6" i="16"/>
  <c r="D16" i="16"/>
  <c r="W9" i="16"/>
  <c r="AO4" i="16"/>
  <c r="C16" i="16"/>
  <c r="AG8" i="16"/>
  <c r="AE13" i="16"/>
  <c r="AF8" i="16"/>
  <c r="AK12" i="16"/>
  <c r="C10" i="16"/>
  <c r="E6" i="16"/>
  <c r="AP15" i="16"/>
  <c r="AQ5" i="16"/>
  <c r="Z10" i="16"/>
  <c r="K14" i="16"/>
  <c r="AO5" i="16"/>
  <c r="AM11" i="16"/>
  <c r="K7" i="16"/>
  <c r="J11" i="16"/>
  <c r="AR14" i="16"/>
  <c r="Z4" i="16"/>
  <c r="AJ11" i="16"/>
  <c r="L10" i="16"/>
  <c r="AL10" i="16"/>
  <c r="AO16" i="16"/>
  <c r="O4" i="16"/>
  <c r="X14" i="16"/>
  <c r="D10" i="16"/>
  <c r="N4" i="16"/>
  <c r="AR15" i="16"/>
  <c r="T9" i="16"/>
  <c r="F15" i="16"/>
  <c r="AC8" i="16"/>
  <c r="AH12" i="16"/>
  <c r="B8" i="16"/>
  <c r="N11" i="16"/>
  <c r="Q13" i="16"/>
  <c r="S17" i="16"/>
  <c r="I11" i="16"/>
  <c r="M5" i="16"/>
  <c r="Z12" i="16"/>
  <c r="C13" i="16"/>
  <c r="AF13" i="16"/>
  <c r="AN16" i="16"/>
  <c r="U7" i="16"/>
  <c r="T14" i="16"/>
  <c r="P7" i="16"/>
  <c r="S5" i="16"/>
  <c r="R19" i="16"/>
  <c r="AB8" i="16"/>
  <c r="AN11" i="16"/>
  <c r="AE15" i="16"/>
  <c r="AN5" i="16"/>
  <c r="H9" i="16"/>
  <c r="X8" i="16"/>
  <c r="S6" i="16"/>
  <c r="AJ6" i="16"/>
  <c r="AH6" i="16"/>
  <c r="AF18" i="16"/>
  <c r="P11" i="16"/>
  <c r="AB16" i="16"/>
  <c r="AG12" i="16"/>
  <c r="Q18" i="16"/>
  <c r="AE4" i="16"/>
  <c r="P13" i="16"/>
  <c r="Y6" i="16"/>
  <c r="AM9" i="16"/>
  <c r="D11" i="16"/>
  <c r="K4" i="16"/>
  <c r="AB13" i="16"/>
  <c r="N7" i="16"/>
  <c r="L14" i="16"/>
  <c r="E4" i="16"/>
  <c r="W13" i="16"/>
  <c r="T17" i="16"/>
  <c r="J7" i="16"/>
  <c r="AK11" i="16"/>
  <c r="AB15" i="16"/>
  <c r="AA10" i="16"/>
  <c r="E15" i="16"/>
  <c r="L7" i="16"/>
  <c r="X10" i="16"/>
  <c r="I14" i="16"/>
  <c r="W16" i="16"/>
  <c r="H7" i="16"/>
  <c r="R11" i="16"/>
  <c r="AO11" i="16"/>
  <c r="AP7" i="16"/>
  <c r="J14" i="16"/>
  <c r="C4" i="16"/>
  <c r="AE12" i="16"/>
  <c r="N5" i="16"/>
  <c r="V10" i="16"/>
  <c r="N13" i="16"/>
  <c r="Y19" i="16"/>
  <c r="AB18" i="16"/>
  <c r="AE17" i="16"/>
  <c r="AL16" i="16"/>
  <c r="AQ15" i="16"/>
  <c r="G15" i="16"/>
  <c r="N14" i="16"/>
  <c r="AC13" i="16"/>
  <c r="AJ12" i="16"/>
  <c r="AQ11" i="16"/>
  <c r="Q11" i="16"/>
  <c r="AF10" i="16"/>
  <c r="B10" i="16"/>
  <c r="S9" i="16"/>
  <c r="AD8" i="16"/>
  <c r="D8" i="16"/>
  <c r="O7" i="16"/>
  <c r="AF6" i="16"/>
  <c r="D6" i="16"/>
  <c r="AP11" i="16"/>
  <c r="F4" i="16"/>
  <c r="AO15" i="16"/>
  <c r="AP5" i="16"/>
  <c r="AK15" i="16"/>
  <c r="Y10" i="16"/>
  <c r="AC6" i="16"/>
  <c r="N19" i="16"/>
  <c r="AO9" i="16"/>
  <c r="X16" i="16"/>
  <c r="Y8" i="16"/>
  <c r="AC15" i="16"/>
  <c r="AI7" i="16"/>
  <c r="K19" i="16"/>
  <c r="F9" i="16"/>
  <c r="AD12" i="16"/>
  <c r="AJ9" i="16"/>
  <c r="O18" i="16"/>
  <c r="U10" i="16"/>
  <c r="AK5" i="16"/>
</calcChain>
</file>

<file path=xl/comments1.xml><?xml version="1.0" encoding="utf-8"?>
<comments xmlns="http://schemas.openxmlformats.org/spreadsheetml/2006/main">
  <authors>
    <author>tc={1E77C63B-E871-49C1-96E2-71E72FF803A9}</author>
    <author>tc={299AA7BA-4258-4B82-AB42-DAEDEDBC7BD4}</author>
    <author>tc={03053243-C81A-46E4-8D48-E430BA70ADF7}</author>
    <author>tc={3BD9874B-9B76-4C04-BBEF-7B4618127C6A}</author>
    <author>tc={26F1F17F-C79F-4903-98F3-7B96644317DC}</author>
    <author>tc={A101A5FE-30AB-4CEB-83A8-5325EE80FF81}</author>
    <author>tc={AC6F57B3-C99A-44A5-B450-C3A078A95F1A}</author>
    <author>tc={C59C34D2-0D89-49C0-AF69-66C6CF13AB80}</author>
    <author>tc={46EA202B-A205-4E7C-84FC-F8ACDE7B1AF9}</author>
    <author>Brittney Ivison</author>
    <author>tc={2843D04C-81FE-4229-B196-F7490CC994A8}</author>
    <author>tc={992302D1-5B10-4340-A988-2CD4347DEF4C}</author>
    <author>tc={1E509773-086D-4719-9E92-9388C67E9CBA}</author>
    <author>tc={A7AC155B-D984-4501-B732-DDFA4A54E9CB}</author>
    <author>tc={5F3CFF78-4268-4F22-B48F-08F96F19DDEC}</author>
    <author>tc={D0019783-7F25-4EE0-B5BC-585C725F37EB}</author>
  </authors>
  <commentList>
    <comment ref="R3" authorId="0" shapeId="0">
      <text>
        <r>
          <rPr>
            <sz val="11"/>
            <color indexed="8"/>
            <rFont val="Calibri"/>
            <family val="2"/>
            <scheme val="minor"/>
          </rPr>
          <t>[Threaded comment]
Your version of Excel allows you to read this threaded comment; however, any edits to it will get removed if the file is opened in a newer version of Excel. Learn more: https://go.microsoft.com/fwlink/?linkid=870924
Comment:
    ABC - At all times while performing work hereunder, Consultant shall maintain general liability insurance in 
amounts not less than $1,000,000 per occurrence and automobile insurance with minimum limits of 
$100,000 per occurrence, combined single limit</t>
        </r>
      </text>
    </comment>
    <comment ref="R5" authorId="1" shapeId="0">
      <text>
        <r>
          <rPr>
            <sz val="11"/>
            <color indexed="8"/>
            <rFont val="Calibri"/>
            <family val="2"/>
            <scheme val="minor"/>
          </rPr>
          <t>[Threaded comment]
Your version of Excel allows you to read this threaded comment; however, any edits to it will get removed if the file is opened in a newer version of Excel. Learn more: https://go.microsoft.com/fwlink/?linkid=870924
Comment:
    ACGI - At all times while performing work hereunder, Consultant shall maintain general liability insurance in amounts not less than $1,000,000 per occurrence and automobile insurance with minimum limits of $100,000 per occurrence, combined single limit.</t>
        </r>
      </text>
    </comment>
    <comment ref="R7" authorId="2" shapeId="0">
      <text>
        <r>
          <rPr>
            <sz val="11"/>
            <color indexed="8"/>
            <rFont val="Calibri"/>
            <family val="2"/>
            <scheme val="minor"/>
          </rPr>
          <t>[Threaded comment]
Your version of Excel allows you to read this threaded comment; however, any edits to it will get removed if the file is opened in a newer version of Excel. Learn more: https://go.microsoft.com/fwlink/?linkid=870924
Comment:
    Commercial General Liability $1 million each occurrence/$2 million aggregate
(Including Products/Completed 
Operations)</t>
        </r>
      </text>
    </comment>
    <comment ref="S7" authorId="3" shapeId="0">
      <text>
        <r>
          <rPr>
            <sz val="11"/>
            <color indexed="8"/>
            <rFont val="Calibri"/>
            <family val="2"/>
            <scheme val="minor"/>
          </rPr>
          <t>[Threaded comment]
Your version of Excel allows you to read this threaded comment; however, any edits to it will get removed if the file is opened in a newer version of Excel. Learn more: https://go.microsoft.com/fwlink/?linkid=870924
Comment:
    Worker’s Compensation Statutory Limits
Employers Liability $1 million each occurrence
Professional Liability/Errors $1 million each occurrence
and Omissions</t>
        </r>
      </text>
    </comment>
    <comment ref="X7" authorId="4" shapeId="0">
      <text>
        <r>
          <rPr>
            <sz val="11"/>
            <color indexed="8"/>
            <rFont val="Calibri"/>
            <family val="2"/>
            <scheme val="minor"/>
          </rPr>
          <t>[Threaded comment]
Your version of Excel allows you to read this threaded comment; however, any edits to it will get removed if the file is opened in a newer version of Excel. Learn more: https://go.microsoft.com/fwlink/?linkid=870924
Comment:
    Cyber Liability* $1 million each occurrence
*Should Provider collect credit card data while providing goods and services for AHA, then the cyber liability 
amount shall be based on the following:
No. of records/transactions 
anticipated annually Amount
Up to 250,000 $3 million
250,000—500,000 $4 million
500,000---750,000 $5 million
750,000—1 million $6 million</t>
        </r>
      </text>
    </comment>
    <comment ref="AJ7" authorId="5" shapeId="0">
      <text>
        <r>
          <rPr>
            <sz val="11"/>
            <color indexed="8"/>
            <rFont val="Calibri"/>
            <family val="2"/>
            <scheme val="minor"/>
          </rPr>
          <t>[Threaded comment]
Your version of Excel allows you to read this threaded comment; however, any edits to it will get removed if the file is opened in a newer version of Excel. Learn more: https://go.microsoft.com/fwlink/?linkid=870924
Comment:
    Automobile Policy $1 million each occurrence</t>
        </r>
      </text>
    </comment>
    <comment ref="T14" authorId="6" shapeId="0">
      <text>
        <r>
          <rPr>
            <sz val="11"/>
            <color indexed="8"/>
            <rFont val="Calibri"/>
            <family val="2"/>
            <scheme val="minor"/>
          </rPr>
          <t>[Threaded comment]
Your version of Excel allows you to read this threaded comment; however, any edits to it will get removed if the file is opened in a newer version of Excel. Learn more: https://go.microsoft.com/fwlink/?linkid=870924
Comment:
    Workers’ Compensation coverage is required for all Supplier employees working onsite at BMW MC. The policy must include coverage for work performed in the State of South Carolina. Supplier will ensure that all employees working at BMW MC are covered by a Workers’ Compensation policy recognized by, and providing coverage in, the State of South Carolina.</t>
        </r>
      </text>
    </comment>
    <comment ref="AJ14" authorId="7" shapeId="0">
      <text>
        <r>
          <rPr>
            <sz val="11"/>
            <color indexed="8"/>
            <rFont val="Calibri"/>
            <family val="2"/>
            <scheme val="minor"/>
          </rPr>
          <t>[Threaded comment]
Your version of Excel allows you to read this threaded comment; however, any edits to it will get removed if the file is opened in a newer version of Excel. Learn more: https://go.microsoft.com/fwlink/?linkid=870924
Comment:
    Auto Liability $1,000,000.00
(combined single limit per accident,
with “any auto” designation,
covering all vehicles operated by Supplier)</t>
        </r>
      </text>
    </comment>
    <comment ref="R18" authorId="8" shapeId="0">
      <text>
        <r>
          <rPr>
            <sz val="11"/>
            <color indexed="8"/>
            <rFont val="Calibri"/>
            <family val="2"/>
            <scheme val="minor"/>
          </rPr>
          <t>[Threaded comment]
Your version of Excel allows you to read this threaded comment; however, any edits to it will get removed if the file is opened in a newer version of Excel. Learn more: https://go.microsoft.com/fwlink/?linkid=870924
Comment:
    Item 11 -  B-8  INSURANCE, INDEMNIFICATION, AND LIABILITY
Seller assumes the following risks: (1) all risks of loss of damage to all  goods, deliverables, work in process, materials, and other things until the acceptance thereof as herein provided;  (2) all risks of loss or damage to third persons and their property until the acceptance of all the  goods or deliverables as herein provided; (3) all risks of loss or damage to any property received by Seller from or held by Seller or its supplier for the account of Buyer, until such property has been accepted by Buyer or its customer, as the case may be; and (4) all risks of  loss or damage to any of the  goods, deliverables or part thereof rejected by Buyer, from the time of shipment thereof to Seller until redelivery thereof  to Buyer.
Seller shall maintain insurance in at least the following amounts: (a) Commercial General Liability with the following minimum limits and endorsements: $1,000,000 Limit Per Occurrence,  $1,000,000 Personal and Advertising Injury, $1,000,000 Products/Completed Operations,  $2,000,000 General Aggregate Limit, $300,000 Fire Legal Liability, $10,000 Medical Payments; (b) Automobile Insurance: $1,000,000 combined single limit per accident for bodily injury and property damage. Auto Liability coverage must be provided on a hired and non-owned basis if there are no company owned or leased vehicles; (c) Standard Workmen’s Compensation and Employer’s Liability Insurance: in the minimum amount of $500,000 or such greater amount as may be proper under applicable state or federal statutes.  Buyer may request certificates of such insurance prior to commencement of work.  Upon Seller’s failure thereof, CACI may obtain, at Seller’s expense, the insurance coverage required for such compliance.  Seller also agrees to provide insurance for all CACI property in Seller’s possession against loss or damage resulting from fire or theft, including extended coverage, malicious mischief and vandalism.  CACI shall be given at least thirty (30) days advance written notice where possible of cancellation of any such insurance.</t>
        </r>
      </text>
    </comment>
    <comment ref="J24" authorId="9" shapeId="0">
      <text>
        <r>
          <rPr>
            <b/>
            <sz val="9"/>
            <color indexed="81"/>
            <rFont val="Tahoma"/>
            <family val="2"/>
          </rPr>
          <t>Brittney Ivison:</t>
        </r>
        <r>
          <rPr>
            <sz val="9"/>
            <color indexed="81"/>
            <rFont val="Tahoma"/>
            <family val="2"/>
          </rPr>
          <t xml:space="preserve">
Signed by Charles, but not by Clario</t>
        </r>
      </text>
    </comment>
    <comment ref="M24" authorId="9" shapeId="0">
      <text>
        <r>
          <rPr>
            <b/>
            <sz val="9"/>
            <color indexed="81"/>
            <rFont val="Tahoma"/>
            <family val="2"/>
          </rPr>
          <t>Brittney Ivison:</t>
        </r>
        <r>
          <rPr>
            <sz val="9"/>
            <color indexed="81"/>
            <rFont val="Tahoma"/>
            <family val="2"/>
          </rPr>
          <t xml:space="preserve">
Term:
1. The confidentiality, non-use and non-solicitation obligations under this Agreement shall expire 
on the fifth year (5th) anniversary of the latest date of receipt by COMPANY or CLARIO of 
any Confidential Information hereunder</t>
        </r>
      </text>
    </comment>
    <comment ref="T27" authorId="10" shapeId="0">
      <text>
        <r>
          <rPr>
            <sz val="11"/>
            <color indexed="8"/>
            <rFont val="Calibri"/>
            <family val="2"/>
            <scheme val="minor"/>
          </rPr>
          <t>[Threaded comment]
Your version of Excel allows you to read this threaded comment; however, any edits to it will get removed if the file is opened in a newer version of Excel. Learn more: https://go.microsoft.com/fwlink/?linkid=870924
Comment:
    Each Accident</t>
        </r>
      </text>
    </comment>
    <comment ref="AJ27" authorId="11" shapeId="0">
      <text>
        <r>
          <rPr>
            <sz val="11"/>
            <color indexed="8"/>
            <rFont val="Calibri"/>
            <family val="2"/>
            <scheme val="minor"/>
          </rPr>
          <t>[Threaded comment]
Your version of Excel allows you to read this threaded comment; however, any edits to it will get removed if the file is opened in a newer version of Excel. Learn more: https://go.microsoft.com/fwlink/?linkid=870924
Comment:
    Combined Single Limit</t>
        </r>
      </text>
    </comment>
    <comment ref="P33" authorId="12" shapeId="0">
      <text>
        <r>
          <rPr>
            <sz val="11"/>
            <color indexed="8"/>
            <rFont val="Calibri"/>
            <family val="2"/>
            <scheme val="minor"/>
          </rPr>
          <t>[Threaded comment]
Your version of Excel allows you to read this threaded comment; however, any edits to it will get removed if the file is opened in a newer version of Excel. Learn more: https://go.microsoft.com/fwlink/?linkid=870924
Comment:
    ARTICLE 13 - INSURANCE
At all times while performing work hereunder, Consultant shall maintain general liability insurance in amounts not 
less than $1,000,000 per occurrence and automobile insurance with minimum limits of $100,000 per occurrence, 
combined single limit.</t>
        </r>
      </text>
    </comment>
    <comment ref="M35" authorId="9" shapeId="0">
      <text>
        <r>
          <rPr>
            <b/>
            <sz val="9"/>
            <color indexed="81"/>
            <rFont val="Tahoma"/>
            <family val="2"/>
          </rPr>
          <t>Brittney Ivison:</t>
        </r>
        <r>
          <rPr>
            <sz val="9"/>
            <color indexed="81"/>
            <rFont val="Tahoma"/>
            <family val="2"/>
          </rPr>
          <t xml:space="preserve">
ARTICLE 2 - TERM
This Agreement will be effective as of the Effective Date above. The initial term of services under this 
Agreement will extend through the date specified in a Schedule A assignment. The Agreement may be 
amended by written consent of the parties to cover additional periods</t>
        </r>
      </text>
    </comment>
    <comment ref="M40" authorId="9" shapeId="0">
      <text>
        <r>
          <rPr>
            <b/>
            <sz val="9"/>
            <color indexed="81"/>
            <rFont val="Tahoma"/>
            <family val="2"/>
          </rPr>
          <t>Brittney Ivison:</t>
        </r>
        <r>
          <rPr>
            <sz val="9"/>
            <color indexed="81"/>
            <rFont val="Tahoma"/>
            <family val="2"/>
          </rPr>
          <t xml:space="preserve">
ARTICLE 2 - TERM
This Agreement will be effective as of the date referred to in the first sentence above. The initial term of services 
under this Agreement will extend through the date specified in Schedule A. The Agreement may be amended by 
written consent of the parties to cover additional periods.</t>
        </r>
      </text>
    </comment>
    <comment ref="J43" authorId="9" shapeId="0">
      <text>
        <r>
          <rPr>
            <b/>
            <sz val="9"/>
            <color indexed="81"/>
            <rFont val="Tahoma"/>
            <family val="2"/>
          </rPr>
          <t>Brittney Ivison:</t>
        </r>
        <r>
          <rPr>
            <sz val="9"/>
            <color indexed="81"/>
            <rFont val="Tahoma"/>
            <family val="2"/>
          </rPr>
          <t xml:space="preserve">
Has clients signature and no signature from Charles</t>
        </r>
      </text>
    </comment>
    <comment ref="M43" authorId="9" shapeId="0">
      <text>
        <r>
          <rPr>
            <b/>
            <sz val="9"/>
            <color indexed="81"/>
            <rFont val="Tahoma"/>
            <family val="2"/>
          </rPr>
          <t>Brittney Ivison:</t>
        </r>
        <r>
          <rPr>
            <sz val="9"/>
            <color indexed="81"/>
            <rFont val="Tahoma"/>
            <family val="2"/>
          </rPr>
          <t xml:space="preserve">
ARTICLE 2 - TERM
This Agreement will be effective as of the date referred to in the first sentence above. The initial term of 
services under this Agreement will extend through the date specified in Schedule A. The Agreement may 
be amended by written consent of the parties to cover additional periods.</t>
        </r>
      </text>
    </comment>
    <comment ref="M64" authorId="9" shapeId="0">
      <text>
        <r>
          <rPr>
            <b/>
            <sz val="9"/>
            <color indexed="81"/>
            <rFont val="Tahoma"/>
            <family val="2"/>
          </rPr>
          <t>Brittney Ivison:</t>
        </r>
        <r>
          <rPr>
            <sz val="9"/>
            <color indexed="81"/>
            <rFont val="Tahoma"/>
            <family val="2"/>
          </rPr>
          <t xml:space="preserve">
ARTICLE 2 - TERM
This Agreement will be effective as of the date referred to in the first sentence above. The initial term of services 
under this Agreement will extend through the date specified in Schedule A. The Agreement may be amended by 
written consent of the parties to cover additional periods.
</t>
        </r>
      </text>
    </comment>
    <comment ref="M66" authorId="9" shapeId="0">
      <text>
        <r>
          <rPr>
            <b/>
            <sz val="9"/>
            <color indexed="81"/>
            <rFont val="Tahoma"/>
            <family val="2"/>
          </rPr>
          <t>Brittney Ivison:</t>
        </r>
        <r>
          <rPr>
            <sz val="9"/>
            <color indexed="81"/>
            <rFont val="Tahoma"/>
            <family val="2"/>
          </rPr>
          <t xml:space="preserve">
ARTICLE 2 - TERM
This Agreement will be effective as of the date referred to in the MaVIS Consultant Agreement. The 
initial term of services under this Agreement will extend through the date specified in the attached 
Exhibits. The Agreement may be amended by written consent of the parties to cover additional periods.</t>
        </r>
      </text>
    </comment>
    <comment ref="M68" authorId="13" shapeId="0">
      <text>
        <r>
          <rPr>
            <sz val="11"/>
            <color indexed="8"/>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Survival. Sections 2.2, Error! Reference source not found. through 19, 20.5, and 21 through 26 will survive any termination of this Agreement. </t>
        </r>
      </text>
    </comment>
    <comment ref="M69" authorId="14" shapeId="0">
      <text>
        <r>
          <rPr>
            <sz val="11"/>
            <color indexed="8"/>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Term. This Agreement shall terminate on the earlier of receipt of written notice to that effect by one party from the other in accordance with Section 5, mutual agreement of the parties or entry into a definitive agreement related to the Relationship that contains a non-disclosure provision. Each party’s obligations under this Agreement with respect to the other party’s Confidential Information shall continue in effect for the greater of two years from the termination effective date of this Agreement or the maximum period of time permitted by law. </t>
        </r>
      </text>
    </comment>
    <comment ref="M70" authorId="9" shapeId="0">
      <text>
        <r>
          <rPr>
            <b/>
            <sz val="9"/>
            <color indexed="81"/>
            <rFont val="Tahoma"/>
            <family val="2"/>
          </rPr>
          <t>Brittney Ivison:</t>
        </r>
        <r>
          <rPr>
            <sz val="9"/>
            <color indexed="81"/>
            <rFont val="Tahoma"/>
            <family val="2"/>
          </rPr>
          <t xml:space="preserve">
ARTICLE 2 - TERM
This Agreement will be effective as of the date referred to in the first sentence above. The initial term of 
services under this Agreement will extend through the date specified in Schedule A. The Agreement may 
be amended by written consent of the parties to cover additional periods</t>
        </r>
      </text>
    </comment>
    <comment ref="L71" authorId="15" shapeId="0">
      <text>
        <r>
          <rPr>
            <sz val="11"/>
            <color indexed="8"/>
            <rFont val="Calibri"/>
            <family val="2"/>
            <scheme val="minor"/>
          </rPr>
          <t>[Threaded comment]
Your version of Excel allows you to read this threaded comment; however, any edits to it will get removed if the file is opened in a newer version of Excel. Learn more: https://go.microsoft.com/fwlink/?linkid=870924
Comment:
    Effective date in the contract is 01/05/2021 - I believe it might have the wrong year and should have been 01/05/2024</t>
        </r>
      </text>
    </comment>
    <comment ref="M73" authorId="9" shapeId="0">
      <text>
        <r>
          <rPr>
            <b/>
            <sz val="9"/>
            <color indexed="81"/>
            <rFont val="Tahoma"/>
            <family val="2"/>
          </rPr>
          <t>Brittney Ivison:</t>
        </r>
        <r>
          <rPr>
            <sz val="9"/>
            <color indexed="81"/>
            <rFont val="Tahoma"/>
            <family val="2"/>
          </rPr>
          <t xml:space="preserve">
ARTICLE 2 - TERM
This Agreement will be effective as of the date referred to in the first sentence above. The initial term of services 
under this Agreement will extend through the date specified in Schedule A. The Agreement may be amended by 
written consent of the parties to cover additional periods.</t>
        </r>
      </text>
    </comment>
    <comment ref="P89" authorId="9" shapeId="0">
      <text>
        <r>
          <rPr>
            <b/>
            <sz val="9"/>
            <color indexed="81"/>
            <rFont val="Tahoma"/>
            <family val="2"/>
          </rPr>
          <t>Brittney Ivison:</t>
        </r>
        <r>
          <rPr>
            <sz val="9"/>
            <color indexed="81"/>
            <rFont val="Tahoma"/>
            <family val="2"/>
          </rPr>
          <t xml:space="preserve">
Insurance: Supplier agrees to acquire and maintain comprehensive public liability and property damage insurance in amounts customarily maintained in Supplier’s industry, insuring against liability for, among other things, bodily injury and property damage.</t>
        </r>
      </text>
    </comment>
    <comment ref="M105" authorId="9" shapeId="0">
      <text>
        <r>
          <rPr>
            <b/>
            <sz val="9"/>
            <color indexed="81"/>
            <rFont val="Tahoma"/>
            <family val="2"/>
          </rPr>
          <t>Brittney Ivison:</t>
        </r>
        <r>
          <rPr>
            <sz val="9"/>
            <color indexed="81"/>
            <rFont val="Tahoma"/>
            <family val="2"/>
          </rPr>
          <t xml:space="preserve">
ARTICLE 2 - TERM
This Agreement will be effective as of the date referred to in the first sentence above. The initial term of services 
under this Agreement will extend through the date specified in Schedule A. The Agreement may be amended by 
written consent of the parties to cover additional periods.
</t>
        </r>
      </text>
    </comment>
    <comment ref="M114" authorId="9" shapeId="0">
      <text>
        <r>
          <rPr>
            <b/>
            <sz val="9"/>
            <color indexed="81"/>
            <rFont val="Tahoma"/>
            <family val="2"/>
          </rPr>
          <t>Brittney Ivison:</t>
        </r>
        <r>
          <rPr>
            <sz val="9"/>
            <color indexed="81"/>
            <rFont val="Tahoma"/>
            <family val="2"/>
          </rPr>
          <t xml:space="preserve">
ARTICLE 2 - TERM
This Agreement will be effective as of the date referred to in the first sentence above. The initial term of services 
under this Agreement will be 3 (three) years, may be extended through the date specified in Schedule A. The 
Agreement may be amended by written consent of the parties to cover additional periods.</t>
        </r>
      </text>
    </comment>
  </commentList>
</comments>
</file>

<file path=xl/comments2.xml><?xml version="1.0" encoding="utf-8"?>
<comments xmlns="http://schemas.openxmlformats.org/spreadsheetml/2006/main">
  <authors>
    <author>Brittney Ivison</author>
    <author>tc={4528C112-C0FB-4B6C-9B6B-161C31F363C9}</author>
    <author>tc={C9CA4BB6-0897-420D-BC6A-BE0C7B8CBEDC}</author>
    <author>tc={799884A6-C792-42EF-9860-08ED87D38314}</author>
    <author>tc={BD707BCD-1105-4024-A3AA-A5F1C129164A}</author>
    <author>tc={B6561EC4-7E25-4249-A154-24BF2C8F260D}</author>
    <author>tc={9E0D3BAF-89EA-483F-9AEA-A598B9DD39D7}</author>
    <author>tc={ACFE7B9A-14BD-4001-88C8-4A41DE94A02D}</author>
    <author>tc={8DE7A8A8-1006-4657-8460-7C66269E722F}</author>
  </authors>
  <commentList>
    <comment ref="U58" authorId="0" shapeId="0">
      <text>
        <r>
          <rPr>
            <b/>
            <sz val="9"/>
            <color indexed="81"/>
            <rFont val="Tahoma"/>
            <family val="2"/>
          </rPr>
          <t>Brittney Ivison:</t>
        </r>
        <r>
          <rPr>
            <sz val="9"/>
            <color indexed="81"/>
            <rFont val="Tahoma"/>
            <family val="2"/>
          </rPr>
          <t xml:space="preserve">
Option Year 1 - 12 additional months if exercised</t>
        </r>
      </text>
    </comment>
    <comment ref="T68" authorId="0" shapeId="0">
      <text>
        <r>
          <rPr>
            <b/>
            <sz val="9"/>
            <color indexed="81"/>
            <rFont val="Tahoma"/>
            <family val="2"/>
          </rPr>
          <t>Brittney Ivison:</t>
        </r>
        <r>
          <rPr>
            <sz val="9"/>
            <color indexed="81"/>
            <rFont val="Tahoma"/>
            <family val="2"/>
          </rPr>
          <t xml:space="preserve">
 Hours are calculated at .5 hours minimum increments. Restore tasks are calculated at block of 
hours.</t>
        </r>
      </text>
    </comment>
    <comment ref="V68" authorId="0" shapeId="0">
      <text>
        <r>
          <rPr>
            <b/>
            <sz val="9"/>
            <color indexed="81"/>
            <rFont val="Tahoma"/>
            <family val="2"/>
          </rPr>
          <t>Brittney Ivison:</t>
        </r>
        <r>
          <rPr>
            <sz val="9"/>
            <color indexed="81"/>
            <rFont val="Tahoma"/>
            <family val="2"/>
          </rPr>
          <t xml:space="preserve">
Automatic Renewal Clause</t>
        </r>
      </text>
    </comment>
    <comment ref="K73" authorId="1" shapeId="0">
      <text>
        <r>
          <rPr>
            <sz val="11"/>
            <color indexed="8"/>
            <rFont val="Calibri"/>
            <family val="2"/>
            <scheme val="minor"/>
          </rPr>
          <t>[Threaded comment]
Your version of Excel allows you to read this threaded comment; however, any edits to it will get removed if the file is opened in a newer version of Excel. Learn more: https://go.microsoft.com/fwlink/?linkid=870924
Comment:
    Gary's signature only.. Missing Charles</t>
        </r>
      </text>
    </comment>
    <comment ref="S74" authorId="0" shapeId="0">
      <text>
        <r>
          <rPr>
            <b/>
            <sz val="9"/>
            <color indexed="81"/>
            <rFont val="Tahoma"/>
            <family val="2"/>
          </rPr>
          <t>Brittney Ivison:</t>
        </r>
        <r>
          <rPr>
            <sz val="9"/>
            <color indexed="81"/>
            <rFont val="Tahoma"/>
            <family val="2"/>
          </rPr>
          <t xml:space="preserve">
Travel Expenses $5,500 not included in PO</t>
        </r>
      </text>
    </comment>
    <comment ref="G76" authorId="0" shapeId="0">
      <text>
        <r>
          <rPr>
            <b/>
            <sz val="9"/>
            <color indexed="81"/>
            <rFont val="Tahoma"/>
            <family val="2"/>
          </rPr>
          <t>Brittney Ivison:</t>
        </r>
        <r>
          <rPr>
            <sz val="9"/>
            <color indexed="81"/>
            <rFont val="Tahoma"/>
            <family val="2"/>
          </rPr>
          <t xml:space="preserve">
This version only has Charles signature - check DocuSgin for client signature</t>
        </r>
      </text>
    </comment>
    <comment ref="K79" authorId="2" shapeId="0">
      <text>
        <r>
          <rPr>
            <sz val="11"/>
            <color indexed="8"/>
            <rFont val="Calibri"/>
            <family val="2"/>
            <scheme val="minor"/>
          </rPr>
          <t>[Threaded comment]
Your version of Excel allows you to read this threaded comment; however, any edits to it will get removed if the file is opened in a newer version of Excel. Learn more: https://go.microsoft.com/fwlink/?linkid=870924
Comment:
    Viscosity sends a signed SOW, but we do not receive a signed one back. We get a PO.</t>
        </r>
      </text>
    </comment>
    <comment ref="C123" authorId="3" shapeId="0">
      <text>
        <r>
          <rPr>
            <sz val="11"/>
            <color indexed="8"/>
            <rFont val="Calibri"/>
            <family val="2"/>
            <scheme val="minor"/>
          </rPr>
          <t>[Threaded comment]
Your version of Excel allows you to read this threaded comment; however, any edits to it will get removed if the file is opened in a newer version of Excel. Learn more: https://go.microsoft.com/fwlink/?linkid=870924
Comment:
    Active, but pretty sure hours have been met</t>
        </r>
      </text>
    </comment>
    <comment ref="N128" authorId="4" shapeId="0">
      <text>
        <r>
          <rPr>
            <sz val="11"/>
            <color indexed="8"/>
            <rFont val="Calibri"/>
            <family val="2"/>
            <scheme val="minor"/>
          </rPr>
          <t>[Threaded comment]
Your version of Excel allows you to read this threaded comment; however, any edits to it will get removed if the file is opened in a newer version of Excel. Learn more: https://go.microsoft.com/fwlink/?linkid=870924
Comment:
    Marked in ST; do not see PO requirement in contract</t>
        </r>
      </text>
    </comment>
    <comment ref="H132" authorId="5" shapeId="0">
      <text>
        <r>
          <rPr>
            <sz val="11"/>
            <color indexed="8"/>
            <rFont val="Calibri"/>
            <family val="2"/>
            <scheme val="minor"/>
          </rPr>
          <t>[Threaded comment]
Your version of Excel allows you to read this threaded comment; however, any edits to it will get removed if the file is opened in a newer version of Excel. Learn more: https://go.microsoft.com/fwlink/?linkid=870924
Comment:
    Effective date upon issuance of PO, but one was not provided. Assumption is that the project began Jan 2023</t>
        </r>
      </text>
    </comment>
    <comment ref="P140" authorId="6" shapeId="0">
      <text>
        <r>
          <rPr>
            <sz val="11"/>
            <color indexed="8"/>
            <rFont val="Calibri"/>
            <family val="2"/>
            <scheme val="minor"/>
          </rPr>
          <t>[Threaded comment]
Your version of Excel allows you to read this threaded comment; however, any edits to it will get removed if the file is opened in a newer version of Excel. Learn more: https://go.microsoft.com/fwlink/?linkid=870924
Comment:
    Per what was entered in Scrum Time. Invoicing is subject to the Consulting Agreement. Do not see one on file.</t>
        </r>
      </text>
    </comment>
    <comment ref="G141" authorId="0" shapeId="0">
      <text>
        <r>
          <rPr>
            <b/>
            <sz val="9"/>
            <color indexed="81"/>
            <rFont val="Tahoma"/>
            <family val="2"/>
          </rPr>
          <t>Brittney Ivison:</t>
        </r>
        <r>
          <rPr>
            <sz val="9"/>
            <color indexed="81"/>
            <rFont val="Tahoma"/>
            <family val="2"/>
          </rPr>
          <t xml:space="preserve">
No date listed on change order but rcv'd email from DocuSign email 06/14/2023 assumeing this is the execution date</t>
        </r>
      </text>
    </comment>
    <comment ref="Q158" authorId="0" shapeId="0">
      <text>
        <r>
          <rPr>
            <b/>
            <sz val="9"/>
            <color indexed="81"/>
            <rFont val="Tahoma"/>
            <family val="2"/>
          </rPr>
          <t>Brittney Ivison:</t>
        </r>
        <r>
          <rPr>
            <sz val="9"/>
            <color indexed="81"/>
            <rFont val="Tahoma"/>
            <family val="2"/>
          </rPr>
          <t xml:space="preserve">
TERMS OF PRICING:
 Supplier will provide multiple consultants to service this SOW.
 Customer Pricing is subject to review if number of targets (supported scope) varies by 10%. The pricing review can be initiated by either the Customer or Supplier.
 Hourly rate for Time and Materials outside the scope of this Agreement will remain fixed at $175 per hour for the term.
 The Services will be invoiced after they have been performed. Supplier will invoice RIA on a monthly basis for the Services delivered in the previous month</t>
        </r>
      </text>
    </comment>
    <comment ref="H188" authorId="7" shapeId="0">
      <text>
        <r>
          <rPr>
            <sz val="11"/>
            <color indexed="8"/>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The term of this SOW will commence on October 1, 2020 and continue until terminated by Client. The term of this SOW is twelve (12) months </t>
        </r>
      </text>
    </comment>
    <comment ref="U196" authorId="8" shapeId="0">
      <text>
        <r>
          <rPr>
            <sz val="11"/>
            <color indexed="8"/>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Did not see est. duration listed</t>
        </r>
      </text>
    </comment>
  </commentList>
</comments>
</file>

<file path=xl/comments3.xml><?xml version="1.0" encoding="utf-8"?>
<comments xmlns="http://schemas.openxmlformats.org/spreadsheetml/2006/main">
  <authors>
    <author>tc={709BB199-0216-4BC2-9B15-E71F316D2F91}</author>
    <author>tc={70DA14B7-C6C9-4EC7-813F-1148FC8A5088}</author>
    <author>tc={C1E68A0A-0F50-438E-BFDC-FEBB1B751B92}</author>
    <author>tc={588FA872-FA3F-4109-AF4B-95CC7599FACB}</author>
    <author>tc={E0CD4BC4-61A4-434F-B7CD-D2836A8476B8}</author>
    <author>tc={39AC7DFA-B31F-49C1-A416-295A145B2207}</author>
    <author>tc={95A95F0F-0304-4E68-8EC7-84C9B2274218}</author>
    <author>tc={79E0816B-5FDD-486C-8411-C57252F98ACF}</author>
    <author>tc={988A6911-8699-41B9-84FA-E8444DC2A6B7}</author>
    <author>Brittney Ivison</author>
    <author>tc={F784F3AA-2C12-46E3-8B34-56EDB4B7CFB3}</author>
    <author>tc={C514BB86-C0C2-4F85-B5BF-9E0681ED5B84}</author>
    <author>tc={A653394B-A06F-4DDB-A3F6-83749E0AE879}</author>
    <author>tc={483130EA-3468-4816-9685-2AAD6AC75B11}</author>
    <author>tc={329F0951-A646-4C82-BD7E-7DD83FC1B7F5}</author>
    <author>tc={224DF13B-B2AB-477C-BB75-F199D6BFD40C}</author>
    <author>tc={1FD9C7D1-8D3B-4DC6-938E-614FF3D19B27}</author>
    <author>tc={84FE2BDD-2493-409E-A992-F8AD11D7F664}</author>
    <author>tc={86D4C577-D322-40CB-B36B-838CB3D9307F}</author>
    <author>tc={34CB4699-9688-40F9-A764-F9F13983EA2A}</author>
    <author>tc={EE39CECA-BDB6-4986-92FD-8AB76A6068E7}</author>
    <author>tc={FBCAAD42-650B-4431-805D-D5FEADF6BCA7}</author>
    <author>tc={979EA57C-9C38-445B-9282-6AD6F32647D2}</author>
    <author>tc={81A2C9F1-6112-434A-8400-4FCD50AB4808}</author>
  </authors>
  <commentList>
    <comment ref="Z3" authorId="0" shapeId="0">
      <text>
        <r>
          <rPr>
            <sz val="11"/>
            <color indexed="8"/>
            <rFont val="Calibri"/>
            <family val="2"/>
            <scheme val="minor"/>
          </rPr>
          <t>[Threaded comment]
Your version of Excel allows you to read this threaded comment; however, any edits to it will get removed if the file is opened in a newer version of Excel. Learn more: https://go.microsoft.com/fwlink/?linkid=870924
Comment:
    ABC - At all times while performing work hereunder, Consultant shall maintain general liability insurance in 
amounts not less than $1,000,000 per occurrence and automobile insurance with minimum limits of 
$100,000 per occurrence, combined single limit</t>
        </r>
      </text>
    </comment>
    <comment ref="Z14" authorId="1" shapeId="0">
      <text>
        <r>
          <rPr>
            <sz val="11"/>
            <color indexed="8"/>
            <rFont val="Calibri"/>
            <family val="2"/>
            <scheme val="minor"/>
          </rPr>
          <t>[Threaded comment]
Your version of Excel allows you to read this threaded comment; however, any edits to it will get removed if the file is opened in a newer version of Excel. Learn more: https://go.microsoft.com/fwlink/?linkid=870924
Comment:
    ACGI - At all times while performing work hereunder, Consultant shall maintain general liability insurance in amounts not less than $1,000,000 per occurrence and automobile insurance with minimum limits of $100,000 per occurrence, combined single limit.</t>
        </r>
      </text>
    </comment>
    <comment ref="Z23" authorId="2" shapeId="0">
      <text>
        <r>
          <rPr>
            <sz val="11"/>
            <color indexed="8"/>
            <rFont val="Calibri"/>
            <family val="2"/>
            <scheme val="minor"/>
          </rPr>
          <t>[Threaded comment]
Your version of Excel allows you to read this threaded comment; however, any edits to it will get removed if the file is opened in a newer version of Excel. Learn more: https://go.microsoft.com/fwlink/?linkid=870924
Comment:
    Commercial General Liability $1 million each occurrence/$2 million aggregate
(Including Products/Completed 
Operations)</t>
        </r>
      </text>
    </comment>
    <comment ref="AA23" authorId="3" shapeId="0">
      <text>
        <r>
          <rPr>
            <sz val="11"/>
            <color indexed="8"/>
            <rFont val="Calibri"/>
            <family val="2"/>
            <scheme val="minor"/>
          </rPr>
          <t>[Threaded comment]
Your version of Excel allows you to read this threaded comment; however, any edits to it will get removed if the file is opened in a newer version of Excel. Learn more: https://go.microsoft.com/fwlink/?linkid=870924
Comment:
    Worker’s Compensation Statutory Limits
Employers Liability $1 million each occurrence
Professional Liability/Errors $1 million each occurrence
and Omissions</t>
        </r>
      </text>
    </comment>
    <comment ref="AF23" authorId="4" shapeId="0">
      <text>
        <r>
          <rPr>
            <sz val="11"/>
            <color indexed="8"/>
            <rFont val="Calibri"/>
            <family val="2"/>
            <scheme val="minor"/>
          </rPr>
          <t>[Threaded comment]
Your version of Excel allows you to read this threaded comment; however, any edits to it will get removed if the file is opened in a newer version of Excel. Learn more: https://go.microsoft.com/fwlink/?linkid=870924
Comment:
    Cyber Liability* $1 million each occurrence
*Should Provider collect credit card data while providing goods and services for AHA, then the cyber liability 
amount shall be based on the following:
No. of records/transactions 
anticipated annually Amount
Up to 250,000 $3 million
250,000—500,000 $4 million
500,000---750,000 $5 million
750,000—1 million $6 million</t>
        </r>
      </text>
    </comment>
    <comment ref="AP23" authorId="5" shapeId="0">
      <text>
        <r>
          <rPr>
            <sz val="11"/>
            <color indexed="8"/>
            <rFont val="Calibri"/>
            <family val="2"/>
            <scheme val="minor"/>
          </rPr>
          <t>[Threaded comment]
Your version of Excel allows you to read this threaded comment; however, any edits to it will get removed if the file is opened in a newer version of Excel. Learn more: https://go.microsoft.com/fwlink/?linkid=870924
Comment:
    Automobile Policy $1 million each occurrence</t>
        </r>
      </text>
    </comment>
    <comment ref="AB28" authorId="6" shapeId="0">
      <text>
        <r>
          <rPr>
            <sz val="11"/>
            <color indexed="8"/>
            <rFont val="Calibri"/>
            <family val="2"/>
            <scheme val="minor"/>
          </rPr>
          <t>[Threaded comment]
Your version of Excel allows you to read this threaded comment; however, any edits to it will get removed if the file is opened in a newer version of Excel. Learn more: https://go.microsoft.com/fwlink/?linkid=870924
Comment:
    Workers’ Compensation coverage is required for all Supplier employees working onsite at BMW MC. The policy must include coverage for work performed in the State of South Carolina. Supplier will ensure that all employees working at BMW MC are covered by a Workers’ Compensation policy recognized by, and providing coverage in, the State of South Carolina.</t>
        </r>
      </text>
    </comment>
    <comment ref="AP28" authorId="7" shapeId="0">
      <text>
        <r>
          <rPr>
            <sz val="11"/>
            <color indexed="8"/>
            <rFont val="Calibri"/>
            <family val="2"/>
            <scheme val="minor"/>
          </rPr>
          <t>[Threaded comment]
Your version of Excel allows you to read this threaded comment; however, any edits to it will get removed if the file is opened in a newer version of Excel. Learn more: https://go.microsoft.com/fwlink/?linkid=870924
Comment:
    Auto Liability $1,000,000.00
(combined single limit per accident,
with “any auto” designation,
covering all vehicles operated by Supplier)</t>
        </r>
      </text>
    </comment>
    <comment ref="Z34" authorId="8" shapeId="0">
      <text>
        <r>
          <rPr>
            <sz val="11"/>
            <color indexed="8"/>
            <rFont val="Calibri"/>
            <family val="2"/>
            <scheme val="minor"/>
          </rPr>
          <t>[Threaded comment]
Your version of Excel allows you to read this threaded comment; however, any edits to it will get removed if the file is opened in a newer version of Excel. Learn more: https://go.microsoft.com/fwlink/?linkid=870924
Comment:
    Item 11 -  B-8  INSURANCE, INDEMNIFICATION, AND LIABILITY
Seller assumes the following risks: (1) all risks of loss of damage to all  goods, deliverables, work in process, materials, and other things until the acceptance thereof as herein provided;  (2) all risks of loss or damage to third persons and their property until the acceptance of all the  goods or deliverables as herein provided; (3) all risks of loss or damage to any property received by Seller from or held by Seller or its supplier for the account of Buyer, until such property has been accepted by Buyer or its customer, as the case may be; and (4) all risks of  loss or damage to any of the  goods, deliverables or part thereof rejected by Buyer, from the time of shipment thereof to Seller until redelivery thereof  to Buyer.
Seller shall maintain insurance in at least the following amounts: (a) Commercial General Liability with the following minimum limits and endorsements: $1,000,000 Limit Per Occurrence,  $1,000,000 Personal and Advertising Injury, $1,000,000 Products/Completed Operations,  $2,000,000 General Aggregate Limit, $300,000 Fire Legal Liability, $10,000 Medical Payments; (b) Automobile Insurance: $1,000,000 combined single limit per accident for bodily injury and property damage. Auto Liability coverage must be provided on a hired and non-owned basis if there are no company owned or leased vehicles; (c) Standard Workmen’s Compensation and Employer’s Liability Insurance: in the minimum amount of $500,000 or such greater amount as may be proper under applicable state or federal statutes.  Buyer may request certificates of such insurance prior to commencement of work.  Upon Seller’s failure thereof, CACI may obtain, at Seller’s expense, the insurance coverage required for such compliance.  Seller also agrees to provide insurance for all CACI property in Seller’s possession against loss or damage resulting from fire or theft, including extended coverage, malicious mischief and vandalism.  CACI shall be given at least thirty (30) days advance written notice where possible of cancellation of any such insurance.</t>
        </r>
      </text>
    </comment>
    <comment ref="U36" authorId="9" shapeId="0">
      <text>
        <r>
          <rPr>
            <b/>
            <sz val="9"/>
            <color indexed="81"/>
            <rFont val="Tahoma"/>
            <family val="2"/>
          </rPr>
          <t>Brittney Ivison:</t>
        </r>
        <r>
          <rPr>
            <sz val="9"/>
            <color indexed="81"/>
            <rFont val="Tahoma"/>
            <family val="2"/>
          </rPr>
          <t xml:space="preserve">
Option Year 1 - 12 additional months if exercised</t>
        </r>
      </text>
    </comment>
    <comment ref="I43" authorId="9" shapeId="0">
      <text>
        <r>
          <rPr>
            <b/>
            <sz val="9"/>
            <color indexed="81"/>
            <rFont val="Tahoma"/>
            <family val="2"/>
          </rPr>
          <t>Brittney Ivison:</t>
        </r>
        <r>
          <rPr>
            <sz val="9"/>
            <color indexed="81"/>
            <rFont val="Tahoma"/>
            <family val="2"/>
          </rPr>
          <t xml:space="preserve">
Signed by Charles, but not by Clario</t>
        </r>
      </text>
    </comment>
    <comment ref="U43" authorId="9" shapeId="0">
      <text>
        <r>
          <rPr>
            <b/>
            <sz val="9"/>
            <color indexed="81"/>
            <rFont val="Tahoma"/>
            <family val="2"/>
          </rPr>
          <t>Brittney Ivison:</t>
        </r>
        <r>
          <rPr>
            <sz val="9"/>
            <color indexed="81"/>
            <rFont val="Tahoma"/>
            <family val="2"/>
          </rPr>
          <t xml:space="preserve">
Term:
1. The confidentiality, non-use and non-solicitation obligations under this Agreement shall expire 
on the fifth year (5th) anniversary of the latest date of receipt by COMPANY or CLARIO of 
any Confidential Information hereunder</t>
        </r>
      </text>
    </comment>
    <comment ref="S45" authorId="9" shapeId="0">
      <text>
        <r>
          <rPr>
            <b/>
            <sz val="9"/>
            <color indexed="81"/>
            <rFont val="Tahoma"/>
            <family val="2"/>
          </rPr>
          <t>Brittney Ivison:</t>
        </r>
        <r>
          <rPr>
            <sz val="9"/>
            <color indexed="81"/>
            <rFont val="Tahoma"/>
            <family val="2"/>
          </rPr>
          <t xml:space="preserve">
 Hours are calculated at .5 hours minimum increments. Restore tasks are calculated at block of 
hours.</t>
        </r>
      </text>
    </comment>
    <comment ref="V45" authorId="9" shapeId="0">
      <text>
        <r>
          <rPr>
            <b/>
            <sz val="9"/>
            <color indexed="81"/>
            <rFont val="Tahoma"/>
            <family val="2"/>
          </rPr>
          <t>Brittney Ivison:</t>
        </r>
        <r>
          <rPr>
            <sz val="9"/>
            <color indexed="81"/>
            <rFont val="Tahoma"/>
            <family val="2"/>
          </rPr>
          <t xml:space="preserve">
Automatic Renewal Clause</t>
        </r>
      </text>
    </comment>
    <comment ref="AB57" authorId="10" shapeId="0">
      <text>
        <r>
          <rPr>
            <sz val="11"/>
            <color indexed="8"/>
            <rFont val="Calibri"/>
            <family val="2"/>
            <scheme val="minor"/>
          </rPr>
          <t>[Threaded comment]
Your version of Excel allows you to read this threaded comment; however, any edits to it will get removed if the file is opened in a newer version of Excel. Learn more: https://go.microsoft.com/fwlink/?linkid=870924
Comment:
    Each Accident</t>
        </r>
      </text>
    </comment>
    <comment ref="AP57" authorId="11" shapeId="0">
      <text>
        <r>
          <rPr>
            <sz val="11"/>
            <color indexed="8"/>
            <rFont val="Calibri"/>
            <family val="2"/>
            <scheme val="minor"/>
          </rPr>
          <t>[Threaded comment]
Your version of Excel allows you to read this threaded comment; however, any edits to it will get removed if the file is opened in a newer version of Excel. Learn more: https://go.microsoft.com/fwlink/?linkid=870924
Comment:
    Combined Single Limit</t>
        </r>
      </text>
    </comment>
    <comment ref="I59" authorId="12" shapeId="0">
      <text>
        <r>
          <rPr>
            <sz val="11"/>
            <color indexed="8"/>
            <rFont val="Calibri"/>
            <family val="2"/>
            <scheme val="minor"/>
          </rPr>
          <t>[Threaded comment]
Your version of Excel allows you to read this threaded comment; however, any edits to it will get removed if the file is opened in a newer version of Excel. Learn more: https://go.microsoft.com/fwlink/?linkid=870924
Comment:
    Gary's signature only.. Missing Charles</t>
        </r>
      </text>
    </comment>
    <comment ref="R60" authorId="9" shapeId="0">
      <text>
        <r>
          <rPr>
            <b/>
            <sz val="9"/>
            <color indexed="81"/>
            <rFont val="Tahoma"/>
            <family val="2"/>
          </rPr>
          <t>Brittney Ivison:</t>
        </r>
        <r>
          <rPr>
            <sz val="9"/>
            <color indexed="81"/>
            <rFont val="Tahoma"/>
            <family val="2"/>
          </rPr>
          <t xml:space="preserve">
Travel Expenses $5,500 not included in PO</t>
        </r>
      </text>
    </comment>
    <comment ref="I65" authorId="13" shapeId="0">
      <text>
        <r>
          <rPr>
            <sz val="11"/>
            <color indexed="8"/>
            <rFont val="Calibri"/>
            <family val="2"/>
            <scheme val="minor"/>
          </rPr>
          <t>[Threaded comment]
Your version of Excel allows you to read this threaded comment; however, any edits to it will get removed if the file is opened in a newer version of Excel. Learn more: https://go.microsoft.com/fwlink/?linkid=870924
Comment:
    Viscosity sends a signed SOW, but we do not receive a signed one back. We get a PO.</t>
        </r>
      </text>
    </comment>
    <comment ref="X76" authorId="14" shapeId="0">
      <text>
        <r>
          <rPr>
            <sz val="11"/>
            <color indexed="8"/>
            <rFont val="Calibri"/>
            <family val="2"/>
            <scheme val="minor"/>
          </rPr>
          <t>[Threaded comment]
Your version of Excel allows you to read this threaded comment; however, any edits to it will get removed if the file is opened in a newer version of Excel. Learn more: https://go.microsoft.com/fwlink/?linkid=870924
Comment:
    ARTICLE 13 - INSURANCE
At all times while performing work hereunder, Consultant shall maintain general liability insurance in amounts not 
less than $1,000,000 per occurrence and automobile insurance with minimum limits of $100,000 per occurrence, 
combined single limit.</t>
        </r>
      </text>
    </comment>
    <comment ref="U79" authorId="9" shapeId="0">
      <text>
        <r>
          <rPr>
            <b/>
            <sz val="9"/>
            <color indexed="81"/>
            <rFont val="Tahoma"/>
            <family val="2"/>
          </rPr>
          <t>Brittney Ivison:</t>
        </r>
        <r>
          <rPr>
            <sz val="9"/>
            <color indexed="81"/>
            <rFont val="Tahoma"/>
            <family val="2"/>
          </rPr>
          <t xml:space="preserve">
ARTICLE 2 - TERM
This Agreement will be effective as of the Effective Date above. The initial term of services under this 
Agreement will extend through the date specified in a Schedule A assignment. The Agreement may be 
amended by written consent of the parties to cover additional periods</t>
        </r>
      </text>
    </comment>
    <comment ref="U89" authorId="9" shapeId="0">
      <text>
        <r>
          <rPr>
            <b/>
            <sz val="9"/>
            <color indexed="81"/>
            <rFont val="Tahoma"/>
            <family val="2"/>
          </rPr>
          <t>Brittney Ivison:</t>
        </r>
        <r>
          <rPr>
            <sz val="9"/>
            <color indexed="81"/>
            <rFont val="Tahoma"/>
            <family val="2"/>
          </rPr>
          <t xml:space="preserve">
ARTICLE 2 - TERM
This Agreement will be effective as of the date referred to in the first sentence above. The initial term of services 
under this Agreement will extend through the date specified in Schedule A. The Agreement may be amended by 
written consent of the parties to cover additional periods.</t>
        </r>
      </text>
    </comment>
    <comment ref="I95" authorId="9" shapeId="0">
      <text>
        <r>
          <rPr>
            <b/>
            <sz val="9"/>
            <color indexed="81"/>
            <rFont val="Tahoma"/>
            <family val="2"/>
          </rPr>
          <t>Brittney Ivison:</t>
        </r>
        <r>
          <rPr>
            <sz val="9"/>
            <color indexed="81"/>
            <rFont val="Tahoma"/>
            <family val="2"/>
          </rPr>
          <t xml:space="preserve">
Has clients signature and no signature from Charles</t>
        </r>
      </text>
    </comment>
    <comment ref="U95" authorId="9" shapeId="0">
      <text>
        <r>
          <rPr>
            <b/>
            <sz val="9"/>
            <color indexed="81"/>
            <rFont val="Tahoma"/>
            <family val="2"/>
          </rPr>
          <t>Brittney Ivison:</t>
        </r>
        <r>
          <rPr>
            <sz val="9"/>
            <color indexed="81"/>
            <rFont val="Tahoma"/>
            <family val="2"/>
          </rPr>
          <t xml:space="preserve">
ARTICLE 2 - TERM
This Agreement will be effective as of the date referred to in the first sentence above. The initial term of 
services under this Agreement will extend through the date specified in Schedule A. The Agreement may 
be amended by written consent of the parties to cover additional periods.</t>
        </r>
      </text>
    </comment>
    <comment ref="U104" authorId="9" shapeId="0">
      <text>
        <r>
          <rPr>
            <b/>
            <sz val="9"/>
            <color indexed="81"/>
            <rFont val="Tahoma"/>
            <family val="2"/>
          </rPr>
          <t>Brittney Ivison:</t>
        </r>
        <r>
          <rPr>
            <sz val="9"/>
            <color indexed="81"/>
            <rFont val="Tahoma"/>
            <family val="2"/>
          </rPr>
          <t xml:space="preserve">
ARTICLE 2 - TERM
This Agreement will be effective as of the date referred to in the first sentence above. The initial term of services 
under this Agreement will extend through the date specified in Schedule A. The Agreement may be amended by 
written consent of the parties to cover additional periods.
</t>
        </r>
      </text>
    </comment>
    <comment ref="B118" authorId="15" shapeId="0">
      <text>
        <r>
          <rPr>
            <sz val="11"/>
            <color indexed="8"/>
            <rFont val="Calibri"/>
            <family val="2"/>
            <scheme val="minor"/>
          </rPr>
          <t>[Threaded comment]
Your version of Excel allows you to read this threaded comment; however, any edits to it will get removed if the file is opened in a newer version of Excel. Learn more: https://go.microsoft.com/fwlink/?linkid=870924
Comment:
    Active, but pretty sure hours have been met</t>
        </r>
      </text>
    </comment>
    <comment ref="M121" authorId="16" shapeId="0">
      <text>
        <r>
          <rPr>
            <sz val="11"/>
            <color indexed="8"/>
            <rFont val="Calibri"/>
            <family val="2"/>
            <scheme val="minor"/>
          </rPr>
          <t>[Threaded comment]
Your version of Excel allows you to read this threaded comment; however, any edits to it will get removed if the file is opened in a newer version of Excel. Learn more: https://go.microsoft.com/fwlink/?linkid=870924
Comment:
    Marked in ST; do not see PO requirement in contract</t>
        </r>
      </text>
    </comment>
    <comment ref="U127" authorId="9" shapeId="0">
      <text>
        <r>
          <rPr>
            <b/>
            <sz val="9"/>
            <color indexed="81"/>
            <rFont val="Tahoma"/>
            <family val="2"/>
          </rPr>
          <t>Brittney Ivison:</t>
        </r>
        <r>
          <rPr>
            <sz val="9"/>
            <color indexed="81"/>
            <rFont val="Tahoma"/>
            <family val="2"/>
          </rPr>
          <t xml:space="preserve">
ARTICLE 2 - TERM
This Agreement will be effective as of the date referred to in the first sentence above. The initial term of services 
under this Agreement will extend through the date specified in Schedule A. The Agreement may be amended by 
written consent of the parties to cover additional periods.
</t>
        </r>
      </text>
    </comment>
    <comment ref="T130" authorId="17" shapeId="0">
      <text>
        <r>
          <rPr>
            <sz val="11"/>
            <color indexed="8"/>
            <rFont val="Calibri"/>
            <family val="2"/>
            <scheme val="minor"/>
          </rPr>
          <t>[Threaded comment]
Your version of Excel allows you to read this threaded comment; however, any edits to it will get removed if the file is opened in a newer version of Excel. Learn more: https://go.microsoft.com/fwlink/?linkid=870924
Comment:
    Effective date upon issuance of PO, but one was not provided. Assumption is that the project began Jan 2023</t>
        </r>
      </text>
    </comment>
    <comment ref="U131" authorId="9" shapeId="0">
      <text>
        <r>
          <rPr>
            <b/>
            <sz val="9"/>
            <color indexed="81"/>
            <rFont val="Tahoma"/>
            <family val="2"/>
          </rPr>
          <t>Brittney Ivison:</t>
        </r>
        <r>
          <rPr>
            <sz val="9"/>
            <color indexed="81"/>
            <rFont val="Tahoma"/>
            <family val="2"/>
          </rPr>
          <t xml:space="preserve">
ARTICLE 2 - TERM
This Agreement will be effective as of the date referred to in the MaVIS Consultant Agreement. The 
initial term of services under this Agreement will extend through the date specified in the attached 
Exhibits. The Agreement may be amended by written consent of the parties to cover additional periods.</t>
        </r>
      </text>
    </comment>
    <comment ref="U137" authorId="18" shapeId="0">
      <text>
        <r>
          <rPr>
            <sz val="11"/>
            <color indexed="8"/>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Survival. Sections 2.2, Error! Reference source not found. through 19, 20.5, and 21 through 26 will survive any termination of this Agreement. </t>
        </r>
      </text>
    </comment>
    <comment ref="M138" authorId="19" shapeId="0">
      <text>
        <r>
          <rPr>
            <sz val="11"/>
            <color indexed="8"/>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Invoicing and Payment. Service Provider will send invoices as set forth in the applicable SOW or, if not specified in the SOW, no later than 60 days after completion of the Services or relevant milestone, as a condition precedent to Neiman Marcus’s obligation to pay. Payment terms will be net 45 days from receipt of proper invoices for undisputed invoices, unless specified otherwise in the applicable SOW. If the compensation for any portion of the Services is other than a fixed fee, Service Provider will provide documentation (e.g. billed hours and rate, timesheets, travel expense receipts) in support of all expenses that Neiman Marcus may reasonably require. Unless otherwise directed in writing by Neiman Marcus, all Service Provider invoices for Services performed pursuant to this Agreement must reflect the correct purchase order number. The parties agree that any standard terms and conditions included or referenced in the invoice shall be null and void. Neiman Marcus may set off any amount due against any amount owed by Service Provider. </t>
        </r>
      </text>
    </comment>
    <comment ref="U138" authorId="20" shapeId="0">
      <text>
        <r>
          <rPr>
            <sz val="11"/>
            <color indexed="8"/>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Term. This Agreement shall terminate on the earlier of receipt of written notice to that effect by one party from the other in accordance with Section 5, mutual agreement of the parties or entry into a definitive agreement related to the Relationship that contains a non-disclosure provision. Each party’s obligations under this Agreement with respect to the other party’s Confidential Information shall continue in effect for the greater of two years from the termination effective date of this Agreement or the maximum period of time permitted by law. </t>
        </r>
      </text>
    </comment>
    <comment ref="U140" authorId="9" shapeId="0">
      <text>
        <r>
          <rPr>
            <b/>
            <sz val="9"/>
            <color indexed="81"/>
            <rFont val="Tahoma"/>
            <family val="2"/>
          </rPr>
          <t>Brittney Ivison:</t>
        </r>
        <r>
          <rPr>
            <sz val="9"/>
            <color indexed="81"/>
            <rFont val="Tahoma"/>
            <family val="2"/>
          </rPr>
          <t xml:space="preserve">
ARTICLE 2 - TERM
This Agreement will be effective as of the date referred to in the first sentence above. The initial term of 
services under this Agreement will extend through the date specified in Schedule A. The Agreement may 
be amended by written consent of the parties to cover additional periods</t>
        </r>
      </text>
    </comment>
    <comment ref="O143" authorId="21" shapeId="0">
      <text>
        <r>
          <rPr>
            <sz val="11"/>
            <color indexed="8"/>
            <rFont val="Calibri"/>
            <family val="2"/>
            <scheme val="minor"/>
          </rPr>
          <t>[Threaded comment]
Your version of Excel allows you to read this threaded comment; however, any edits to it will get removed if the file is opened in a newer version of Excel. Learn more: https://go.microsoft.com/fwlink/?linkid=870924
Comment:
    Per what was entered in Scrum Time. Invoicing is subject to the Consulting Agreement. Do not see one on file.</t>
        </r>
      </text>
    </comment>
    <comment ref="U145" authorId="9" shapeId="0">
      <text>
        <r>
          <rPr>
            <b/>
            <sz val="9"/>
            <color indexed="81"/>
            <rFont val="Tahoma"/>
            <family val="2"/>
          </rPr>
          <t>Brittney Ivison:</t>
        </r>
        <r>
          <rPr>
            <sz val="9"/>
            <color indexed="81"/>
            <rFont val="Tahoma"/>
            <family val="2"/>
          </rPr>
          <t xml:space="preserve">
ARTICLE 2 - TERM
This Agreement will be effective as of the date referred to in the first sentence above. The initial term of services 
under this Agreement will extend through the date specified in Schedule A. The Agreement may be amended by 
written consent of the parties to cover additional periods.</t>
        </r>
      </text>
    </comment>
    <comment ref="P165" authorId="9" shapeId="0">
      <text>
        <r>
          <rPr>
            <b/>
            <sz val="9"/>
            <color indexed="81"/>
            <rFont val="Tahoma"/>
            <family val="2"/>
          </rPr>
          <t>Brittney Ivison:</t>
        </r>
        <r>
          <rPr>
            <sz val="9"/>
            <color indexed="81"/>
            <rFont val="Tahoma"/>
            <family val="2"/>
          </rPr>
          <t xml:space="preserve">
TERMS OF PRICING:
 Supplier will provide multiple consultants to service this SOW.
 Customer Pricing is subject to review if number of targets (supported scope) varies by 10%. The pricing review can be initiated by either the Customer or Supplier.
 Hourly rate for Time and Materials outside the scope of this Agreement will remain fixed at $175 per hour for the term.
 The Services will be invoiced after they have been performed. Supplier will invoice RIA on a monthly basis for the Services delivered in the previous month</t>
        </r>
      </text>
    </comment>
    <comment ref="X166" authorId="9" shapeId="0">
      <text>
        <r>
          <rPr>
            <b/>
            <sz val="9"/>
            <color indexed="81"/>
            <rFont val="Tahoma"/>
            <family val="2"/>
          </rPr>
          <t>Brittney Ivison:</t>
        </r>
        <r>
          <rPr>
            <sz val="9"/>
            <color indexed="81"/>
            <rFont val="Tahoma"/>
            <family val="2"/>
          </rPr>
          <t xml:space="preserve">
Insurance: Supplier agrees to acquire and maintain comprehensive public liability and property damage insurance in amounts customarily maintained in Supplier’s industry, insuring against liability for, among other things, bodily injury and property damage.</t>
        </r>
      </text>
    </comment>
    <comment ref="T201" authorId="22" shapeId="0">
      <text>
        <r>
          <rPr>
            <sz val="11"/>
            <color indexed="8"/>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The term of this SOW will commence on October 1, 2020 and continue until terminated by Client. The term of this SOW is twelve (12) months </t>
        </r>
      </text>
    </comment>
    <comment ref="U207" authorId="9" shapeId="0">
      <text>
        <r>
          <rPr>
            <b/>
            <sz val="9"/>
            <color indexed="81"/>
            <rFont val="Tahoma"/>
            <family val="2"/>
          </rPr>
          <t>Brittney Ivison:</t>
        </r>
        <r>
          <rPr>
            <sz val="9"/>
            <color indexed="81"/>
            <rFont val="Tahoma"/>
            <family val="2"/>
          </rPr>
          <t xml:space="preserve">
ARTICLE 2 - TERM
This Agreement will be effective as of the date referred to in the first sentence above. The initial term of services 
under this Agreement will be 3 (three) years, may be extended through the date specified in Schedule A. The 
Agreement may be amended by written consent of the parties to cover additional periods.</t>
        </r>
      </text>
    </comment>
    <comment ref="U209" authorId="23" shapeId="0">
      <text>
        <r>
          <rPr>
            <sz val="11"/>
            <color indexed="8"/>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Did not see est. duration listed</t>
        </r>
      </text>
    </comment>
  </commentList>
</comments>
</file>

<file path=xl/comments4.xml><?xml version="1.0" encoding="utf-8"?>
<comments xmlns="http://schemas.openxmlformats.org/spreadsheetml/2006/main">
  <authors>
    <author>Brittney Ivison</author>
  </authors>
  <commentList>
    <comment ref="B12" authorId="0" shapeId="0">
      <text>
        <r>
          <rPr>
            <b/>
            <sz val="9"/>
            <color indexed="81"/>
            <rFont val="Tahoma"/>
            <family val="2"/>
          </rPr>
          <t>Brittney Ivison:</t>
        </r>
        <r>
          <rPr>
            <sz val="9"/>
            <color indexed="81"/>
            <rFont val="Tahoma"/>
            <family val="2"/>
          </rPr>
          <t xml:space="preserve">
Cyber liability is included in the E&amp;O of $5M and when the limits are reached the umbrella covers at an additional $5M</t>
        </r>
      </text>
    </comment>
  </commentList>
</comment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<sst xmlns="http://schemas.openxmlformats.org/spreadsheetml/2006/main" count="12554" uniqueCount="2369">
  <si>
    <t>Agreements</t>
  </si>
  <si>
    <t>Client</t>
  </si>
  <si>
    <t>Contact</t>
  </si>
  <si>
    <t xml:space="preserve">Line of Business </t>
  </si>
  <si>
    <t>Business</t>
  </si>
  <si>
    <t>Contract Type</t>
  </si>
  <si>
    <t>Work Type</t>
  </si>
  <si>
    <t>Date Signed</t>
  </si>
  <si>
    <t>Description</t>
  </si>
  <si>
    <t>Signed Copy</t>
  </si>
  <si>
    <t>DocuSign</t>
  </si>
  <si>
    <t>Effective Date</t>
  </si>
  <si>
    <t>Duration (Months)</t>
  </si>
  <si>
    <t>Expiration Date</t>
  </si>
  <si>
    <t>Days to Contract End</t>
  </si>
  <si>
    <t>General Liability Insurance</t>
  </si>
  <si>
    <t>COI Requirement</t>
  </si>
  <si>
    <t>GL Aggregate Limits</t>
  </si>
  <si>
    <t>GL per Occurrence</t>
  </si>
  <si>
    <t>Workers Compensation</t>
  </si>
  <si>
    <t xml:space="preserve">Employers Liability </t>
  </si>
  <si>
    <t>Umbrella Aggregate</t>
  </si>
  <si>
    <t>Umbrella per Occurrence</t>
  </si>
  <si>
    <t>Cyber Aggregate</t>
  </si>
  <si>
    <t>Cyber per Occurrence</t>
  </si>
  <si>
    <t>Professional Liability (E&amp;O)</t>
  </si>
  <si>
    <t>Property in Transit</t>
  </si>
  <si>
    <t>Employee Theft of Client Property</t>
  </si>
  <si>
    <t>Products/Completed Operations</t>
  </si>
  <si>
    <t>Personal &amp; Advertising Injury</t>
  </si>
  <si>
    <t>Bodily Injury/Property Damage</t>
  </si>
  <si>
    <t>Fire Legal Liability Injury</t>
  </si>
  <si>
    <t>Medical Payments</t>
  </si>
  <si>
    <t>Auto Insurance Combined Single Limit (Hired)</t>
  </si>
  <si>
    <t>Auto Insurance Combined Single Limit (Non-owned)</t>
  </si>
  <si>
    <t>Auto Insurance Combined Single Limit (Owned)</t>
  </si>
  <si>
    <t>R.A.G. Status</t>
  </si>
  <si>
    <t>Notes</t>
  </si>
  <si>
    <t>Path</t>
  </si>
  <si>
    <t>Yes</t>
  </si>
  <si>
    <t>No</t>
  </si>
  <si>
    <t>ABC Fitness Solutions, LLC</t>
  </si>
  <si>
    <t>VNA</t>
  </si>
  <si>
    <t>MSA</t>
  </si>
  <si>
    <t>Agreement</t>
  </si>
  <si>
    <t>Master Services Agreement</t>
  </si>
  <si>
    <t>ON-GOING</t>
  </si>
  <si>
    <t>$1M</t>
  </si>
  <si>
    <t>-</t>
  </si>
  <si>
    <t>$100K</t>
  </si>
  <si>
    <t>Accelario Software Inc.</t>
  </si>
  <si>
    <t>VT</t>
  </si>
  <si>
    <t>VAR Agreement</t>
  </si>
  <si>
    <t>Partnership</t>
  </si>
  <si>
    <t>ACCELARIO - Partnership Distribution Agr w Viscosity - clean version - final.docx</t>
  </si>
  <si>
    <t>ACGI Software</t>
  </si>
  <si>
    <t>Last billed in 2018</t>
  </si>
  <si>
    <t>AMDI</t>
  </si>
  <si>
    <t>AMDI-MSA-2024-4854-1967-0962-v6.1 EXECUTED VNA.pdf</t>
  </si>
  <si>
    <t>American Heart Association, Inc.</t>
  </si>
  <si>
    <t>$2M</t>
  </si>
  <si>
    <t>$5M</t>
  </si>
  <si>
    <t>$6M</t>
  </si>
  <si>
    <t>American Leather</t>
  </si>
  <si>
    <t>VNA.MSA.AMERICAN_LEATHER.2023.docx</t>
  </si>
  <si>
    <t>American Unit</t>
  </si>
  <si>
    <t>NDA</t>
  </si>
  <si>
    <t>MNDA - DW 092124 American Unit (Fully executed).pdf</t>
  </si>
  <si>
    <t>Apex Capital Corp.</t>
  </si>
  <si>
    <t>VNA.MNDA.2023 - Apex Capital Corp - Accepted.docx</t>
  </si>
  <si>
    <t>VNA.MSA.2023_-_Apex_Capital_Corp.docx</t>
  </si>
  <si>
    <t>Athenian Group, LLC</t>
  </si>
  <si>
    <t>VNA - MSA 2022 .VNA REVISED.20230329.docx</t>
  </si>
  <si>
    <t xml:space="preserve">Athenian Group, LLC </t>
  </si>
  <si>
    <t>VNA -Athenian -MNDA November 2022.doc</t>
  </si>
  <si>
    <t>BMW</t>
  </si>
  <si>
    <t>Statutory Limits</t>
  </si>
  <si>
    <t>We assumed this client when we bought Sumner Technologies in 2018; I went through some of that stuff and can’t find anything.</t>
  </si>
  <si>
    <t>Non-Disclosure Agreement</t>
  </si>
  <si>
    <t>CableOne</t>
  </si>
  <si>
    <t>(SOW) Statement of Work with Cable One, Inc_ (667af9e7f9) (version 1)</t>
  </si>
  <si>
    <t>Certificate Holder</t>
  </si>
  <si>
    <t>S1M</t>
  </si>
  <si>
    <t>CACI</t>
  </si>
  <si>
    <t>CACI_Agreement.NDA.12022022</t>
  </si>
  <si>
    <t>CACI - LGS Labs</t>
  </si>
  <si>
    <t>$500K</t>
  </si>
  <si>
    <t>$300K</t>
  </si>
  <si>
    <t>$10K</t>
  </si>
  <si>
    <t>Captial Title of Texas</t>
  </si>
  <si>
    <t>Centene - [formerly Wellcare] - [formerly Meridian (Caidan)]</t>
  </si>
  <si>
    <t>PROC380 VISCOSITY NORTH AMERICA, MSA,AMD1_encrypted_.pdf</t>
  </si>
  <si>
    <t>Civic Telehealth</t>
  </si>
  <si>
    <t>mNDA CTH Civic Telehealth.pdf</t>
  </si>
  <si>
    <t>Clario</t>
  </si>
  <si>
    <t>It appears that the redlines have not been resolved and there is no signed MSA currently in effect. Nonetheless, we do have an active PO.</t>
  </si>
  <si>
    <t>COE</t>
  </si>
  <si>
    <t>College of American Pathologists (“CAP”)</t>
  </si>
  <si>
    <t>PO 87781 Viscosity MASTER SERVICES AGREEMENT</t>
  </si>
  <si>
    <t>Computex Technology Solutions</t>
  </si>
  <si>
    <t>A Recipient’s duty to protect Confidential Information 
expires three (3) years from the date of any disclosure hereunder</t>
  </si>
  <si>
    <t>Cynet</t>
  </si>
  <si>
    <t>Dominion Questar</t>
  </si>
  <si>
    <t>Fifth Amendment Agreement</t>
  </si>
  <si>
    <t>New Agreement PO# 50104298; Old Agreement #6163-01A-57112</t>
  </si>
  <si>
    <t>Drill Tech Drilling &amp; Shoring, Inc.</t>
  </si>
  <si>
    <t>VNA MSA (Drill Tech) - 07.18.2024.pdf</t>
  </si>
  <si>
    <t>Fleet Farm</t>
  </si>
  <si>
    <t>Unknown</t>
  </si>
  <si>
    <t>Florida Realtors</t>
  </si>
  <si>
    <t>Flowtrac</t>
  </si>
  <si>
    <t>FNF</t>
  </si>
  <si>
    <t>Follett Content Soultions LLC (SQL Server)</t>
  </si>
  <si>
    <t>Legal Agreement</t>
  </si>
  <si>
    <t>MBE_WBE Statement</t>
  </si>
  <si>
    <t>VT.MSA.Follett Content Solutions.27JAN2024 Follett Content Edits.FINAL.docx</t>
  </si>
  <si>
    <t>$100k</t>
  </si>
  <si>
    <t>VT.MNDA.Follett Content Solutions.24JAN2024 (002) Follett Comments FINAL.doc</t>
  </si>
  <si>
    <t>Follett School Solutions LLC (Oracle EBS)</t>
  </si>
  <si>
    <t>Globalstar</t>
  </si>
  <si>
    <t>HCTRA</t>
  </si>
  <si>
    <t>Consulting Agreement</t>
  </si>
  <si>
    <t>Notwithstanding the foregoing, if this Agreement terminates or is terminated while one or more Project Addenda (as defined in paragraph 2 below) remain outstanding, the terms of this Agreement shall continue to govern each outstanding Project Addendum, and the entire Agreement shall be deemed finally terminated only upon termination of all outstanding Project Addenda, or completion of the work thereunder.</t>
  </si>
  <si>
    <t>HRL</t>
  </si>
  <si>
    <t>CSA</t>
  </si>
  <si>
    <t>Signed</t>
  </si>
  <si>
    <t>IdenTrust</t>
  </si>
  <si>
    <t>InComm</t>
  </si>
  <si>
    <t>2021-04-13.Mutual Nondisclosure Agreement, Viscosity North America, Inc (1).pdf</t>
  </si>
  <si>
    <t>2021-05-10.Executed Viscosity MSA Agreement.pdf</t>
  </si>
  <si>
    <t>Term. The Term of the Agreement is hereby extended for one (1) year beginning on May 10, 2021 and concluding on May 9, 2022 (“Term”). Thereafter, the Agreement may be extended by written agreement of the parties.</t>
  </si>
  <si>
    <t>Incorta</t>
  </si>
  <si>
    <t>Infrastructure</t>
  </si>
  <si>
    <t>MCSA</t>
  </si>
  <si>
    <t>NCORTA.VNA.MCSA.2023.docx</t>
  </si>
  <si>
    <t>Inficon</t>
  </si>
  <si>
    <t>Complete_with_DocuSign_INFICON_NDA_March_202 (1).pdf</t>
  </si>
  <si>
    <t>IN-N-Out Burger</t>
  </si>
  <si>
    <t>InterMetro Industries Corporation</t>
  </si>
  <si>
    <t>Oracle BigCommerce Integration</t>
  </si>
  <si>
    <t xml:space="preserve">IQNavigator </t>
  </si>
  <si>
    <t>Agreement prevails unless there is written agreement of both parties or 30 days prior written notice provided no outstanding business transactions</t>
  </si>
  <si>
    <t>Article 10 shall survive any termination or cancellation of this Agreement.</t>
  </si>
  <si>
    <t>Jiffy Lube</t>
  </si>
  <si>
    <t>n/a</t>
  </si>
  <si>
    <t>Just Born</t>
  </si>
  <si>
    <t>VNA.MSA.Just Born.June 2023.docx</t>
  </si>
  <si>
    <t>Automatic Renewal after 12 months -</t>
  </si>
  <si>
    <t>Lamar Trailer</t>
  </si>
  <si>
    <t>LAMAR TRAILERS.VNA.MSA.2023.docx</t>
  </si>
  <si>
    <t>LAMAR TRAILERS.VNA.MNDA.2023.docx</t>
  </si>
  <si>
    <t>LGS Labs</t>
  </si>
  <si>
    <t>Mainline - KLR Technology</t>
  </si>
  <si>
    <t>Medica</t>
  </si>
  <si>
    <t>2024 05 22 Viscosity MSA.pdf</t>
  </si>
  <si>
    <t>$3M</t>
  </si>
  <si>
    <t>Merit Energy</t>
  </si>
  <si>
    <t>Merit Medical Systems</t>
  </si>
  <si>
    <t>SOW</t>
  </si>
  <si>
    <t>Signed MSA for Oracle Security Assessment</t>
  </si>
  <si>
    <t>Morris-Shea Bridge Company Inc.</t>
  </si>
  <si>
    <t>NDA Signed</t>
  </si>
  <si>
    <t>MSB - Reboot Project 2022</t>
  </si>
  <si>
    <t>Restart of project/direction change</t>
  </si>
  <si>
    <t>MountainWest Pipleline, LLC</t>
  </si>
  <si>
    <t>VNA -MNDA .MountainWest November 2022</t>
  </si>
  <si>
    <t>National Mango Board</t>
  </si>
  <si>
    <t>MANGO VOLUME &amp; INVENTORY SYSTEM CONSULTANT AGREEMENT</t>
  </si>
  <si>
    <t>Nationwide Mutal Insurance Company</t>
  </si>
  <si>
    <t>Limited Services Agreement</t>
  </si>
  <si>
    <t>Limited Services Agreement FINAL 20230519.docx</t>
  </si>
  <si>
    <t>Neiman Marcus</t>
  </si>
  <si>
    <t>NeoSystems LLC</t>
  </si>
  <si>
    <t>NGCIS - Natural Gas Compression Systems, INC.</t>
  </si>
  <si>
    <t>Development</t>
  </si>
  <si>
    <t>Professional Services</t>
  </si>
  <si>
    <t>VNA MSA - Originally included in Enterprise Assest Management SOW</t>
  </si>
  <si>
    <t xml:space="preserve">MSA and SOW signed under one document in DocuSign </t>
  </si>
  <si>
    <t>PathAI/Poplar Healthcare</t>
  </si>
  <si>
    <t>MSA-VNA.Poplar.2022.FINAL.docx</t>
  </si>
  <si>
    <t>HIPAA</t>
  </si>
  <si>
    <t>Business Associate Agreement</t>
  </si>
  <si>
    <t>N/A</t>
  </si>
  <si>
    <t>Paychex</t>
  </si>
  <si>
    <t>Paychex mNDA Signed.pdf</t>
  </si>
  <si>
    <t>CNTR0030595 Viscosity Professional Services Agreement _LNP_PCXPSI_FINAL signed.pdf</t>
  </si>
  <si>
    <t>Photon Leap Technologies, LLC</t>
  </si>
  <si>
    <t>NDA VISCOSITY AND PHOTON LEAP CK</t>
  </si>
  <si>
    <t>Power Design</t>
  </si>
  <si>
    <t>Prestolite Electric Inc.</t>
  </si>
  <si>
    <t>Quest</t>
  </si>
  <si>
    <t>Subcontractor Agreement</t>
  </si>
  <si>
    <t>Quest - San Diego County Sheriffs Department</t>
  </si>
  <si>
    <t>SAN DIEGO COUNTY SHERIFFS DEPARTMENT</t>
  </si>
  <si>
    <t>Viscosity will provide technical direction, roadmap and implementation expertise for Inovio/Nab SharePlex implementation to set up replication between the data centers in an active/activeconfiguration</t>
  </si>
  <si>
    <t>R&amp;L Carriers</t>
  </si>
  <si>
    <t>Viscosity Master Services Agreement.FINAL.docx.pdf</t>
  </si>
  <si>
    <t>Mutual NDA for Oracle DB Health Check _ViscosityNA</t>
  </si>
  <si>
    <t>Record Deposition Service (RDS)</t>
  </si>
  <si>
    <t>Region 10</t>
  </si>
  <si>
    <t>Applicant Tracking System</t>
  </si>
  <si>
    <t>Oracle Cloud Infrastructure- Infrastructure Support and Maintenance</t>
  </si>
  <si>
    <t>RIA - Nationwide</t>
  </si>
  <si>
    <t>Sanofi</t>
  </si>
  <si>
    <t>Saracen Energy</t>
  </si>
  <si>
    <t>Savantage Financial Services, Inc. d.b.a. Savantage Solutions</t>
  </si>
  <si>
    <t>1.0_Master_Services_Agreement-_v5.1_Execution_2025_03_30</t>
  </si>
  <si>
    <t>Addendum</t>
  </si>
  <si>
    <t>Sales &amp; Use Tax Addendum</t>
  </si>
  <si>
    <t>2.1 VNA_Sales_Tax Addendum_v5.1 Execution 2025 03 30</t>
  </si>
  <si>
    <t>Sherwin Williams</t>
  </si>
  <si>
    <t>SHI International Corp.</t>
  </si>
  <si>
    <t>SHI US Mutual Non Disclosure Agreement - 26FEB2025 1</t>
  </si>
  <si>
    <t>SICE</t>
  </si>
  <si>
    <t>VNA_MSA_SICE_13FEB2025</t>
  </si>
  <si>
    <t>NDA_US_SICE_VNA_10FEB2025</t>
  </si>
  <si>
    <t>Solix</t>
  </si>
  <si>
    <t>SOLIX Mutual NDA-2023.pdf</t>
  </si>
  <si>
    <t>Sports Med Research &amp; Testing Lab</t>
  </si>
  <si>
    <t>VNA-SMRTL-MSA.docx</t>
  </si>
  <si>
    <t>TBD</t>
  </si>
  <si>
    <t>Standard Lithium Ltd</t>
  </si>
  <si>
    <t>STGenetics</t>
  </si>
  <si>
    <t>Team Car Care, LLC / 
Jiffy Lube</t>
  </si>
  <si>
    <t>Transnetyx</t>
  </si>
  <si>
    <t>Travelport</t>
  </si>
  <si>
    <t>2024-07-25 Viscosity North America Inc. - Travelport (TGIL) NDA</t>
  </si>
  <si>
    <t>Umass Memorial Health</t>
  </si>
  <si>
    <t>US Renal</t>
  </si>
  <si>
    <t>WellCare</t>
  </si>
  <si>
    <t>Worldwide Clinical Trials Early Phase Services/Bio</t>
  </si>
  <si>
    <t>Amendment</t>
  </si>
  <si>
    <t>Viscosity_Amendment 1 to MSA_27Jan25 final.docx</t>
  </si>
  <si>
    <t>MSA extends per SOW assigned</t>
  </si>
  <si>
    <t>YTI</t>
  </si>
  <si>
    <t>YTI_VNA_MNDA_13MARCH2024.pdf</t>
  </si>
  <si>
    <t>PruTech (FDNY)</t>
  </si>
  <si>
    <t>Total Number of Contracts:</t>
  </si>
  <si>
    <t xml:space="preserve"> </t>
  </si>
  <si>
    <t>Partnership - Referrals and Resell</t>
  </si>
  <si>
    <t>Company Name</t>
  </si>
  <si>
    <t>Referral or Resell</t>
  </si>
  <si>
    <t>Initial Contact Date</t>
  </si>
  <si>
    <t>Last Engagement Date</t>
  </si>
  <si>
    <t>Accelario</t>
  </si>
  <si>
    <t>Referral</t>
  </si>
  <si>
    <t>ACCELARIO - Partnership Distribution Agr - Redlines 11Sept2024.docx</t>
  </si>
  <si>
    <t xml:space="preserve">Redlined new contract with DW's responses - pending approval to be sent. </t>
  </si>
  <si>
    <t>Confluent</t>
  </si>
  <si>
    <t>Resell</t>
  </si>
  <si>
    <t>06.09.2023</t>
  </si>
  <si>
    <t>Pending Viscosity Response</t>
  </si>
  <si>
    <t xml:space="preserve">Accepted - pending Partner Agreement acceptance </t>
  </si>
  <si>
    <t>05.24.2023</t>
  </si>
  <si>
    <t>05.31.2023</t>
  </si>
  <si>
    <t>Meeting scheduled for 06.13.2023</t>
  </si>
  <si>
    <t>06.12.2023</t>
  </si>
  <si>
    <t>CK made edits on the attached link</t>
  </si>
  <si>
    <t>NDA_DocuSign executed 06.03.2023</t>
  </si>
  <si>
    <t>Databricks</t>
  </si>
  <si>
    <t>Microsoft</t>
  </si>
  <si>
    <t>Oracle</t>
  </si>
  <si>
    <t>Silk</t>
  </si>
  <si>
    <t>Silk_Mutual NDA_VNA_final.docx</t>
  </si>
  <si>
    <t>KeyTech</t>
  </si>
  <si>
    <t>AVNET</t>
  </si>
  <si>
    <t>Statements of Work</t>
  </si>
  <si>
    <t>Company</t>
  </si>
  <si>
    <t xml:space="preserve">Business Line </t>
  </si>
  <si>
    <t>Contract Name/Document Link</t>
  </si>
  <si>
    <t>Project Contact</t>
  </si>
  <si>
    <t>Status</t>
  </si>
  <si>
    <t>Requires PO</t>
  </si>
  <si>
    <t>PO #</t>
  </si>
  <si>
    <t>Cycle</t>
  </si>
  <si>
    <t>Payment Terms</t>
  </si>
  <si>
    <t>Monthly Budget</t>
  </si>
  <si>
    <t>Total Budget</t>
  </si>
  <si>
    <t>Block Of Hours</t>
  </si>
  <si>
    <t>Discription of Project</t>
  </si>
  <si>
    <t>ABC.India Offshore DBA SOW.20230217.docx</t>
  </si>
  <si>
    <t>ABC-Fitness BI - Azure DevOps Integration</t>
  </si>
  <si>
    <t>Block of Hours</t>
  </si>
  <si>
    <t>ABC - Professional Services</t>
  </si>
  <si>
    <t>PO23-29200</t>
  </si>
  <si>
    <t>VNA.ABC_DBA Professional Services_SoW_May 2023.docx</t>
  </si>
  <si>
    <t>60/week</t>
  </si>
  <si>
    <t>VNA.ABC_Professional Services_SoW_Q4 2023.docx</t>
  </si>
  <si>
    <t>Managed Services</t>
  </si>
  <si>
    <t>Offshore - Monitoring &amp; Support</t>
  </si>
  <si>
    <t>Monthly</t>
  </si>
  <si>
    <t>Offshore - DBA Support</t>
  </si>
  <si>
    <t>40 hrs/week</t>
  </si>
  <si>
    <t>VNA.ABC.Managed Services SoW.EDW Monitoring.Offshore.2023July.docx</t>
  </si>
  <si>
    <t>PO22-24864</t>
  </si>
  <si>
    <t>Assessment</t>
  </si>
  <si>
    <t>VNA.ABC.PF-Get Well-Insights Assessment.SoW.2024Sep.docx</t>
  </si>
  <si>
    <t>VNA.ABC.Professional Services.SoW.2024Jan-Jun.docx</t>
  </si>
  <si>
    <t>VNA.ABC.Support Services SoW.EDW Monitoring.Offshore.2024Jan-Jun.docx</t>
  </si>
  <si>
    <t>VNA.ABC.Professional Services.SoW.2024Jun-Dec</t>
  </si>
  <si>
    <t>VNA.ABC.Support Services SoW.EDW Monitoring.Offshore.2025Apr-Jun.docx</t>
  </si>
  <si>
    <t>VNA.ABC.Support Services SoW.EDW Monitoring.Offshore.2025Jan-Mar.v2.docx</t>
  </si>
  <si>
    <t>VNA.ABC.Support Services SoW.Offshore DBA.2024Mar-Dec.docx</t>
  </si>
  <si>
    <t>VNA.ABC.Support Services SoW.EDW Monitoring.Offshore.2024Jul-Dec.docx.pdf</t>
  </si>
  <si>
    <t xml:space="preserve">Need PO </t>
  </si>
  <si>
    <t>ExaCC DB Migration-Optimization-Support</t>
  </si>
  <si>
    <t>VNA.ABC.Azure Data Monitoring &amp; Dashboard.SoW.May 2025</t>
  </si>
  <si>
    <t>VNA.ABC.Professional Services.SoW.2025Jul-Dec</t>
  </si>
  <si>
    <t>On Demand Consulting - Signed</t>
  </si>
  <si>
    <t>Inactive</t>
  </si>
  <si>
    <t>135/hour</t>
  </si>
  <si>
    <t>Airport Terminal Services</t>
  </si>
  <si>
    <t>Oracle ERP Managed Services</t>
  </si>
  <si>
    <t>VNA SOW AMDI OEPortal Fully executed.pdf</t>
  </si>
  <si>
    <t>Gabriela Codina</t>
  </si>
  <si>
    <t>Active</t>
  </si>
  <si>
    <t>DBA Managed Services</t>
  </si>
  <si>
    <t>Expired</t>
  </si>
  <si>
    <t>AMERICAN LEATHER HOLDINGS, LLC</t>
  </si>
  <si>
    <t>SOW-VNA.AL_-EBS_WebServices.Remote_Support_Services.20240823.EXECUTED</t>
  </si>
  <si>
    <t>Change Order</t>
  </si>
  <si>
    <t>ALO_B2B_Portal-_Enhancements__BRD_V2.0.EXECUTED</t>
  </si>
  <si>
    <t>SOW.AMERICAN LEATHER.VNA SWATCH MANAGED SERVICES.APR2024.docx</t>
  </si>
  <si>
    <t>CO.AL.LEE.00001.DB2WebservicesDec2024.docx</t>
  </si>
  <si>
    <t>CO.AL.EBSWS.00002.Swatch-User Portal Integration.V2</t>
  </si>
  <si>
    <t>APEX Staff Augmentation- Transfer Views from Oracle to Alternative Data Store</t>
  </si>
  <si>
    <t>SOW-VT.AL -Lee WebServices.Remote Support Services.2025.docx</t>
  </si>
  <si>
    <t>SOW.American_Leather.Web_Services.SOW.ORACLE_EBS.AUG2023.docx</t>
  </si>
  <si>
    <t>**</t>
  </si>
  <si>
    <t>SOW-VT.AL -EBS WebServices.Remote Support Services.20240823.REISSUE.docx</t>
  </si>
  <si>
    <t>ALO_B2B_Portal-_Enhancements__BRD_V2.0.EXECUTED.pdf</t>
  </si>
  <si>
    <t>SOW-VT.AL -EBS WebServices.Remote Support Services.20240823.REISSUE.docx.pdf</t>
  </si>
  <si>
    <t>***</t>
  </si>
  <si>
    <t>SOW.American Leather.Swatch Enhancements.MVP.wPM.20240802.docx.pdf</t>
  </si>
  <si>
    <t>SOW.AMERICAN LEATHER.VNA STAFF AUGUMENTATION.APR2023.docx</t>
  </si>
  <si>
    <t>SOW_HRMS_and_Financial_Archiving..Executed</t>
  </si>
  <si>
    <t>Records Management and Archive</t>
  </si>
  <si>
    <t>VNA-AL-AP Invoice Automation Services-SOW-v2.docx</t>
  </si>
  <si>
    <t>SOW.AMERICAN LEATHER.VNA SWATCH MANAGED SERVICES.APR2024.docx.pdf</t>
  </si>
  <si>
    <t>Paul??</t>
  </si>
  <si>
    <t xml:space="preserve">SOW.American_Leather.Web_Services.SOW.ORACLE_EBS.AUG2023
</t>
  </si>
  <si>
    <t>SOW.AMERICAN LEATHER.VT SWATCH REMOTE SERVICES.MAY2025</t>
  </si>
  <si>
    <t>Project Management</t>
  </si>
  <si>
    <t>ecommerce program manager support SOW signed 9 December 2023</t>
  </si>
  <si>
    <t>VNA SOW - Apex Capital Corp - DB Modernization.20241230_FINAL.docx</t>
  </si>
  <si>
    <t>AssetWorks</t>
  </si>
  <si>
    <t>Asset Works Database and AOP Assessment SOW</t>
  </si>
  <si>
    <t>Pending</t>
  </si>
  <si>
    <t>Athenian Group, LLC - LA Metro</t>
  </si>
  <si>
    <t>Data Input/Automation POV</t>
  </si>
  <si>
    <t>BDO-Harris County</t>
  </si>
  <si>
    <t>PO</t>
  </si>
  <si>
    <t>Sql/Apex Training.2022</t>
  </si>
  <si>
    <t>F3RKHXJ</t>
  </si>
  <si>
    <t>Bot Construction Limited</t>
  </si>
  <si>
    <t>Oracle Apex Timekeeping</t>
  </si>
  <si>
    <t>Retainer</t>
  </si>
  <si>
    <t>KURT Statement of Work</t>
  </si>
  <si>
    <t>KURT Migration to AWS - 2nd Run</t>
  </si>
  <si>
    <t>Optional Year 1 (if excersised) 12 December 2023 – 11 December 2024</t>
  </si>
  <si>
    <t>Support LGS Labs’ Kinetic User Repair Tracker KURT database</t>
  </si>
  <si>
    <t>LGS Innovations SOW.docx</t>
  </si>
  <si>
    <t>CRM SQL Server Migration</t>
  </si>
  <si>
    <t>Capital Sales CRM</t>
  </si>
  <si>
    <t>Centene</t>
  </si>
  <si>
    <t>Exadata Optimization, Upgrades 
and Patching, Data Center Services, &amp; Technical 
Advisory Services</t>
  </si>
  <si>
    <t>CTH SOW Strategy.docx</t>
  </si>
  <si>
    <t xml:space="preserve">CLARIO MANAGED SERVICES CHANGE ORDER 5-22-23.docx
</t>
  </si>
  <si>
    <t xml:space="preserve">Revision in scope for Clario Managed Services agreement specific to monitored 
components: </t>
  </si>
  <si>
    <t>Clario_Linux_Unix_ODA_Managed_Services_SOW.v3.ADDENDUM.20221122.13.19.docx</t>
  </si>
  <si>
    <t>Clario_Linux_Unix_ODA_Managed_Services_SOW.v3.20220715.FINAL.docx</t>
  </si>
  <si>
    <t>50 Hrs/Quarter</t>
  </si>
  <si>
    <t>Automatic Renewal after 36 months - 10/14/2025</t>
  </si>
  <si>
    <t>COE.APEX REMOTE SUPPORT SERVICES.SOW.2024.EXECUTED</t>
  </si>
  <si>
    <t>Patricia Hammond</t>
  </si>
  <si>
    <t>3-Year Term</t>
  </si>
  <si>
    <t>COE_DBA_Sep_2019</t>
  </si>
  <si>
    <t>ODA Migration</t>
  </si>
  <si>
    <t>Computex Technology Solutions - Dresser</t>
  </si>
  <si>
    <t>Dresser EBS Migration</t>
  </si>
  <si>
    <t>Consultant will migrate client’s Oracle eBusiness Suite application and database currently residing on target entity (on-premises) application server and database server Dresser’s</t>
  </si>
  <si>
    <t>Dresser CIM/JiT Assessment</t>
  </si>
  <si>
    <t>PO223602M</t>
  </si>
  <si>
    <t>Custom</t>
  </si>
  <si>
    <t>Dallas Independent School District</t>
  </si>
  <si>
    <t>Renewal</t>
  </si>
  <si>
    <t>Upon Issued PO</t>
  </si>
  <si>
    <t>DISD- BOS Managed-Services-SOW.2023.75 Hours.docx</t>
  </si>
  <si>
    <t>2024 Renewal Letter KH-205563 Viscosity North America.pdf</t>
  </si>
  <si>
    <t>NA</t>
  </si>
  <si>
    <t>Annual</t>
  </si>
  <si>
    <t>the Dallas Independent School District issued an Award for the above-referenced Request for Proposal (RFP) and it will expire August 31, 2023. The Dallas Independent School District wishes, in accordance of the award and Viscosity North America RFP response, to extend the award through August 31, 2024. The extension includes the same terms and conditions of the original Award.</t>
  </si>
  <si>
    <t>BOS Managed Services</t>
  </si>
  <si>
    <t>2023 PO-924830</t>
  </si>
  <si>
    <t>BOS Phase-3</t>
  </si>
  <si>
    <t>Upon completion of this statement of work (SOW), Consultant and Client deliver a design, documentation, updated, and working application of the BOS budget management system.</t>
  </si>
  <si>
    <t>License Assessment - 2022</t>
  </si>
  <si>
    <t>Perform a license review of their current footprint for their E-Business Suite, application, and, and database tier.</t>
  </si>
  <si>
    <t>Apex Services &amp; Support</t>
  </si>
  <si>
    <t>150 Hrs/Quarter</t>
  </si>
  <si>
    <t>AOP Renewal</t>
  </si>
  <si>
    <t>APEX Office Print - On-premises Gold</t>
  </si>
  <si>
    <t>BOS - Fusion Integration</t>
  </si>
  <si>
    <t>Scope and Tasks:_x000D_
The scope and requirements are categorized into these phases:_x000D_
1. Support Hours (100 hours per Quarter)_x000D_
2. Overage and Out-of-Scope Support</t>
  </si>
  <si>
    <t>50162797 DEUWI DOT GAS Purchase Order.Executed PO.12MOS (see linked PO)</t>
  </si>
  <si>
    <t xml:space="preserve">ramon.rammell@do
minionenergy.com </t>
  </si>
  <si>
    <t>12 Month- Staff Augmentation</t>
  </si>
  <si>
    <t>50162702 DEQP Mobile Pipeline- Staff Aug-Purchase Order.Executed PO6MOS. (see linked PO)</t>
  </si>
  <si>
    <t>Oracle, APEX  and PL/SQL Support- SIX MONTH TERM</t>
  </si>
  <si>
    <t>VNA SOW Phase 1 - drilltech SOW oracle vna v2.2.2 2024 07 30.FINAL.docx.pdf</t>
  </si>
  <si>
    <t xml:space="preserve">Drill Tech Drilling &amp; Shoring, Inc.  </t>
  </si>
  <si>
    <t>VNA SOW Long Term Rate Card v2.3.docx.pdf</t>
  </si>
  <si>
    <t>Excellus</t>
  </si>
  <si>
    <t>Oracle XMLDB Review</t>
  </si>
  <si>
    <t>Health Plan seeks to engage a supplier to provide practical experience using Oracle’s XML solution to review and provide recommendations on the solution proposed for the Consolidated Clinical Document</t>
  </si>
  <si>
    <t>APEX Forms</t>
  </si>
  <si>
    <t>Daily</t>
  </si>
  <si>
    <t>Creation of 25 APEX forms</t>
  </si>
  <si>
    <t>Florida Realtors Monitoring Support Services</t>
  </si>
  <si>
    <t>$2,000/month</t>
  </si>
  <si>
    <t>19c Upgrade</t>
  </si>
  <si>
    <t>Upon completion of each environment, after load test successfully completes their run (if 
applicable), Viscosity will submit an invoice to FNF for payment. Total project cost will not exceed 
$479,200</t>
  </si>
  <si>
    <t>Flat fee of $78K monthly</t>
  </si>
  <si>
    <t>Follet Content Solutions LLC (SQL Server)</t>
  </si>
  <si>
    <t>FCS.BucketOfHoursSeparationWorkChangeOrder.7-17-24.docx</t>
  </si>
  <si>
    <t>David Walker</t>
  </si>
  <si>
    <t>8/26/204</t>
  </si>
  <si>
    <t>FCS.BucketOfHoursSeparationWorkChangeOrder.8-26-24.docx</t>
  </si>
  <si>
    <t>80 Hrs</t>
  </si>
  <si>
    <t>Follett Content Solutions LLC Managed Services SQL Server DB Support SOW.FINAL.docx</t>
  </si>
  <si>
    <t>16 Hrs/Month</t>
  </si>
  <si>
    <t>Thereafter, this SOW shall automatically renew for successive one (1) year terms (each a “Renewal Term”) upon Client’s written approval. Fees upon renewal shall not increase by more than 5%.</t>
  </si>
  <si>
    <t>Follett School Solutions LLC</t>
  </si>
  <si>
    <t>VNA SOW - Follett APEX Upgrade 2025 V2.docx SIGNED</t>
  </si>
  <si>
    <t>Follett Managed Services Database Support SOW 02MAY.V4 Follett edits v1 (5.18.2022) Changes Accepted (002)</t>
  </si>
  <si>
    <t>MS Change Order</t>
  </si>
  <si>
    <t>Follett School Solutions LLC MS Change Order Jan 2024 FINAL.docx</t>
  </si>
  <si>
    <t>32 Hrs/Month</t>
  </si>
  <si>
    <t>Globalstar_SOW_for_ODA_Implementation.V3.03102023.docx</t>
  </si>
  <si>
    <t>Net 30</t>
  </si>
  <si>
    <t>Harris County</t>
  </si>
  <si>
    <t>Biweekly</t>
  </si>
  <si>
    <t>Golden Gate</t>
  </si>
  <si>
    <t>Migration And Upgrade</t>
  </si>
  <si>
    <t>IdenTrust - Index Tuning 2025.docx SIGNED</t>
  </si>
  <si>
    <t>IdenTrust - DB Patching 2024.docx SIGNED.pdf</t>
  </si>
  <si>
    <t>IdenTrust DB Patching 2023</t>
  </si>
  <si>
    <t>4 hours per month are dedicated to Retainer Services meant to review the database environment on a regular basis. Expected in the fall 2023 - revisit no later than May 15</t>
  </si>
  <si>
    <t>Identrust Db Patching 2022</t>
  </si>
  <si>
    <t>Purchase Order</t>
  </si>
  <si>
    <t>IDENTRUST Performance Tuning 2023 PO-20069</t>
  </si>
  <si>
    <t>IdenTrust Retainer Services - Schedule A VT - Signed</t>
  </si>
  <si>
    <t>IdenTrust - DB Patching 2025</t>
  </si>
  <si>
    <t>Incorta - Viscosity Project Work Order-Just Born.V2.docx</t>
  </si>
  <si>
    <t>None</t>
  </si>
  <si>
    <t>Complete_with_DocuSign_VNAINFICONApplictio SOW.pdf</t>
  </si>
  <si>
    <t>Ino - Goldengate Data Replication</t>
  </si>
  <si>
    <t>Ebs Migration To Exacc And Ebs Dr</t>
  </si>
  <si>
    <t>Jiffy - DW solution &amp; Data Resiliency analysis</t>
  </si>
  <si>
    <t>1. Viscosity will assess Jiffy Lube’s current environment and provide a proposal for a Data Warehouse (DW) solution._x000D_
2. Analyze Jiffy Lube's application data feeds for data resiliency</t>
  </si>
  <si>
    <t xml:space="preserve">Just Born_VNA-Incorta Implementation SOW.docx
</t>
  </si>
  <si>
    <t>Issuance of PO</t>
  </si>
  <si>
    <t>VNA.Lamar Trailers.ODA IP Change.SoW.April 2025.docx</t>
  </si>
  <si>
    <t>SOW.Lamar Trailer.ODA Migration. July 2023 v2.docx</t>
  </si>
  <si>
    <t>kris.f@lamartrailers.com</t>
  </si>
  <si>
    <t>provide professional services to assist Lamar Trailers (Client) to migrate the IQMS ERP dtaabase from the Windows toODAs and setup/confi ODA</t>
  </si>
  <si>
    <t>Los Alamos National Laboratory</t>
  </si>
  <si>
    <t>LANL SoW.docx</t>
  </si>
  <si>
    <t>VNA Medica Exa Performance and Architecture - July 2024.FINAL.docx.pdf</t>
  </si>
  <si>
    <t>SUSE Linux Upgrade</t>
  </si>
  <si>
    <t>Viscosity will update the SUSE operating system for the SAP ECC environment.</t>
  </si>
  <si>
    <t>Oracle Security Assessment</t>
  </si>
  <si>
    <t>IO Performance Review</t>
  </si>
  <si>
    <t>Viscosity will provide consulting services to review IO performance for Merit Medical Linux stack on VMware.</t>
  </si>
  <si>
    <t>Retainer Services</t>
  </si>
  <si>
    <t>MERIT MEDICAL.VNA.RETAINER.JULY2024.docx SIGNED</t>
  </si>
  <si>
    <t xml:space="preserve">MERIT MEDICAL.VNA.RETAINER.JUNE2023.docx
</t>
  </si>
  <si>
    <t>Bucket of Hours - IO Performance Review</t>
  </si>
  <si>
    <t>MERIT MEDICAL.VNA.RETAINER.JULY2024.docx SIGNED.pdf</t>
  </si>
  <si>
    <t>Need PO</t>
  </si>
  <si>
    <t>Staff Aug</t>
  </si>
  <si>
    <t xml:space="preserve">MOUNTAINWEST PIPELINE.VNA.RETAINER.JUNE2023.docx
</t>
  </si>
  <si>
    <t>Project Jazz</t>
  </si>
  <si>
    <t>PO not issued</t>
  </si>
  <si>
    <t>SOW - NMB_Custom APEX Training_June 2022</t>
  </si>
  <si>
    <t>Vlad (RMitton@mango.org)</t>
  </si>
  <si>
    <t>Custom Oracle APEX training for NMB</t>
  </si>
  <si>
    <t>Mango Volume &amp; Inventory System SOW</t>
  </si>
  <si>
    <t>Viscosity _Agreement 2024_Exhibit E</t>
  </si>
  <si>
    <t>Natural Gas Compression Systems, INC. (NGCSI)</t>
  </si>
  <si>
    <t>Enterprise Asset Management System SOW</t>
  </si>
  <si>
    <t>Viscosity Technology, Inc. will provide consulting services to NMG to_x000D_
migrate 4 databases listed below from the Exadata X5-2 to new ODAs in the Plano data center_x000D_
leveraging Data Guard.</t>
  </si>
  <si>
    <t>ZFS Setup and Configuration (Not Signed)</t>
  </si>
  <si>
    <t>Setup ZFS for ODA and Oracle Backup</t>
  </si>
  <si>
    <t>Oracle Database</t>
  </si>
  <si>
    <t>Viscosity will perform consulting services to configure and build the Oracle Database on the_x000D_
existing Oracle Database Appliance(s) and collaborate with the NeoSystems Database_x000D_
Administration team</t>
  </si>
  <si>
    <t xml:space="preserve">Oak Ridge National Laboratory </t>
  </si>
  <si>
    <t>Exadata Patching - 19c-2022</t>
  </si>
  <si>
    <t>Quarerly</t>
  </si>
  <si>
    <t>POPLAR MANAGED SERVICES CHANGE ORDER 5-22-23.docx</t>
  </si>
  <si>
    <t>?</t>
  </si>
  <si>
    <t xml:space="preserve">POPLAR MANAGED SERVICES CHANGE ORDER 5-22-23.docx
</t>
  </si>
  <si>
    <t>Outlines the revision in scope for the Poplar Managed Services agreement specific to monitored 
components:</t>
  </si>
  <si>
    <t>SQL Server Remote Monitoring &amp; Management</t>
  </si>
  <si>
    <t>Invoice</t>
  </si>
  <si>
    <t>20 Hrs/Month</t>
  </si>
  <si>
    <t>Poplar Sql Server Farm Reconfiguration</t>
  </si>
  <si>
    <t>Viscosity_-_Paychex_POC_GG_Upgrade_and_Microservices_SOW_FINAL_(1).pdf</t>
  </si>
  <si>
    <t>Viscosity SQL Health Check SOW 8.28.24 V3.docx</t>
  </si>
  <si>
    <t>Viscosity Health Check SOW.FINAL.docx.pdf</t>
  </si>
  <si>
    <t>RLC.OracleAssessment.Change Order.SQL Server Remediation.RLC.0001.2025.docx</t>
  </si>
  <si>
    <t>VNA SOW RDS Physical-to-Virtual Migration - Signed</t>
  </si>
  <si>
    <t>Development Support</t>
  </si>
  <si>
    <t>roger.hayes@region10.org</t>
  </si>
  <si>
    <t>Region 10 -ORDS and AOP Upgrade.2024 NOV.docx</t>
  </si>
  <si>
    <t>Rent-A-Center</t>
  </si>
  <si>
    <t>Proactive Performance Health Check Assessment</t>
  </si>
  <si>
    <t>Is this still active?</t>
  </si>
  <si>
    <t>RIA Support Services</t>
  </si>
  <si>
    <t>Database Upgrade of 19c</t>
  </si>
  <si>
    <t>Payment terms are Net 45 days.</t>
  </si>
  <si>
    <t>RL Carriers</t>
  </si>
  <si>
    <t>FULLY SIGNED Viscosity Short Term Remediation Time and Materials SOW</t>
  </si>
  <si>
    <t xml:space="preserve">Tim Reagan </t>
  </si>
  <si>
    <t>Sanofi-Data Guard Build</t>
  </si>
  <si>
    <t xml:space="preserve">Mark.Benson@sanofi.com </t>
  </si>
  <si>
    <t>E004775599</t>
  </si>
  <si>
    <t>Net 90</t>
  </si>
  <si>
    <t>Design and build a Data Guard system for Sanofi PoC site</t>
  </si>
  <si>
    <t>Sanofi_SOW-InfrastructureAnalysis_20230511</t>
  </si>
  <si>
    <t>Mark.Benson@sanofi.com</t>
  </si>
  <si>
    <t>Savantage</t>
  </si>
  <si>
    <t>2.0_VNA_SOW_-_v5.1_Execution_2025_03_30</t>
  </si>
  <si>
    <t>Scan Soft Solutions</t>
  </si>
  <si>
    <t>ServiceLink</t>
  </si>
  <si>
    <t>Sherwin Managed Services</t>
  </si>
  <si>
    <t>USP00405042</t>
  </si>
  <si>
    <t>To Start June 1- Waiting to Confirm PO-remote managed support services to Sherwin Williams specific to all work products implemented during Horizon and Barcode Shipping engagements</t>
  </si>
  <si>
    <t>USP00831756</t>
  </si>
  <si>
    <t>SMRTL- Assessment</t>
  </si>
  <si>
    <t>ChangeOrder.SMRTL.Price_Group_Sample_Result_Backend.docx</t>
  </si>
  <si>
    <t>ChangeOrder.SMRTL.CBC_Report_Audit_Storage_Backend 1.docx</t>
  </si>
  <si>
    <t>VNA-SOW-SMRTL-Phase01.20240110.docx</t>
  </si>
  <si>
    <t>SURGE - Technical Integration</t>
  </si>
  <si>
    <t>Perform data integration, data loading, design and build custom user interfaces.  Integrate Client’s CMS and LMS solutions across business units including Canada, Australia, and New Zealand</t>
  </si>
  <si>
    <t>SURGE - Production Support</t>
  </si>
  <si>
    <t>Supporting the production environment during and after the rollout.</t>
  </si>
  <si>
    <t>SURGE - Project Management</t>
  </si>
  <si>
    <t>Two project managers to support the rollout of  software and sites</t>
  </si>
  <si>
    <t>SURGE- Oracle ERP (Financials)</t>
  </si>
  <si>
    <t>Implement financials, GL, AR, AP, Assets across Canada, Australia, and New Zealand.</t>
  </si>
  <si>
    <t>SURGE  - Oracle EPM</t>
  </si>
  <si>
    <t>Implement Consolidation and Close, Planning and Budgeting, and Enterprise Performance Reporting solution for STgenetics</t>
  </si>
  <si>
    <t>Texas de Brazil</t>
  </si>
  <si>
    <t>Symphony Integration, new environment &amp; Tech stack Update</t>
  </si>
  <si>
    <t>ChangeOrder.TDB.SU.00004.HotSchedules_Rates.JAN2025.docx</t>
  </si>
  <si>
    <t>Transformation  Enhancements</t>
  </si>
  <si>
    <t>This SOW will support the enhancement of the Transform Application, supporting Tip Management and Payroll.</t>
  </si>
  <si>
    <t>TRANSNETYX MANAGED SERVICES CHANGE ORDER 2-23-24 CUSTOMER SIGNED</t>
  </si>
  <si>
    <t>Antonio Taylor</t>
  </si>
  <si>
    <t>Transnetyx Managed Services Database Support SOW 2024.docx</t>
  </si>
  <si>
    <t>Oracle and SQL Server Remote Monitoring and Management</t>
  </si>
  <si>
    <t>The term of this SOW will commence on April 19, 2021 and continue until terminated by Client.  The term of this Agreement is twelve (12) months.</t>
  </si>
  <si>
    <t>Transnetyx - SQL Server Storage Assessment &amp; Clean Up.docx SIGNED.pdf</t>
  </si>
  <si>
    <t>yes</t>
  </si>
  <si>
    <t>Database Managed Services</t>
  </si>
  <si>
    <t>Optional 36 month commitment @ 10% discount</t>
  </si>
  <si>
    <t>USRC Support</t>
  </si>
  <si>
    <t>US renal pre-paid for 100 hrs of work, when they purchased the ODA.</t>
  </si>
  <si>
    <t>VT SOW - USRC GG Upgrade and Migration (USRC Revisions 2 19 25)(VT Accepted) 1</t>
  </si>
  <si>
    <t>Oracle Database Performance Tuning</t>
  </si>
  <si>
    <t>Weekly</t>
  </si>
  <si>
    <t>Amisys</t>
  </si>
  <si>
    <t>Database Upgrades Infra-build</t>
  </si>
  <si>
    <t>WWCT - SQL Managed Services SOW.docx</t>
  </si>
  <si>
    <t>VNA WWCT Legacy DB Migration 17Feb25 final.docx.pdf</t>
  </si>
  <si>
    <t>WWCT - NVMe Add and ASM Services - 9-15-23.docx</t>
  </si>
  <si>
    <t>YTI SOW Viscosity North America 13MARCH2024.pdf</t>
  </si>
  <si>
    <t>Anthony Mashkovich</t>
  </si>
  <si>
    <t>Project Paused until Nov. 2024</t>
  </si>
  <si>
    <t>YTI.ProjectPauseChangeOrder.7-1-24 SIGNED.pdf</t>
  </si>
  <si>
    <t>Dominion Energy Services, Inc.</t>
  </si>
  <si>
    <t>50171304.SOW 6MOS.SOW 12 MOS.2025.PDF</t>
  </si>
  <si>
    <t>Performance Assessment SOW SICE_11FEB2025</t>
  </si>
  <si>
    <t>(Multiple Items)</t>
  </si>
  <si>
    <t>Row Labels</t>
  </si>
  <si>
    <t>DEAD</t>
  </si>
  <si>
    <t>Term and Renewal</t>
  </si>
  <si>
    <t>vnacontratsadministration@viscosityna.com</t>
  </si>
  <si>
    <t>Consultant Service Agreement</t>
  </si>
  <si>
    <t>Evergreen</t>
  </si>
  <si>
    <t>Master Service Agreement OR Managed Service Agreement</t>
  </si>
  <si>
    <t>Fixed-Term</t>
  </si>
  <si>
    <t>Mutal Agreement</t>
  </si>
  <si>
    <t>Statement of Work</t>
  </si>
  <si>
    <t>Evergreen w/ Price Adjust.</t>
  </si>
  <si>
    <t>Conditional Renewal</t>
  </si>
  <si>
    <t>Redlines</t>
  </si>
  <si>
    <t>SMB Certificate</t>
  </si>
  <si>
    <t>Master Contractor Services Agreement</t>
  </si>
  <si>
    <t>Order Document</t>
  </si>
  <si>
    <t>Referral Agreement</t>
  </si>
  <si>
    <t>Resell Agreement</t>
  </si>
  <si>
    <t>Software | Licensing Agreements</t>
  </si>
  <si>
    <t xml:space="preserve">Client </t>
  </si>
  <si>
    <t xml:space="preserve">Product </t>
  </si>
  <si>
    <t>Contract Name</t>
  </si>
  <si>
    <t>AMP</t>
  </si>
  <si>
    <t>New Customers, will be in production this year 2024.</t>
  </si>
  <si>
    <t>The project paused, but they’re in production; not sure as of when.</t>
  </si>
  <si>
    <t>NGCSI</t>
  </si>
  <si>
    <t>Recent /New customer, they went to production recently sometime around June 2024.</t>
  </si>
  <si>
    <t>SMRTL</t>
  </si>
  <si>
    <t>Recent/New customers, will be in production soon June 2024</t>
  </si>
  <si>
    <t>STgenetics</t>
  </si>
  <si>
    <t>I am not sure if we ever billed them for AMP or if they are aware they have to pay for AMP subscription and do not know next steps to rectify as years have passed</t>
  </si>
  <si>
    <t>n/a- not seeing it list in SOWs either</t>
  </si>
  <si>
    <t>I am not sure if we ever billed them for AMP or if they are aware they have to pay for AMP subscription and do not know next steps to rectify as years have passed.</t>
  </si>
  <si>
    <t>Pending David Wangs Approval</t>
  </si>
  <si>
    <t>Recent/New customer, will be in production soon June 2024.</t>
  </si>
  <si>
    <t>Capital Title of Texas</t>
  </si>
  <si>
    <t>Viscosity_AMP_EULA -CTOT.pdf</t>
  </si>
  <si>
    <t>No Signed Copy</t>
  </si>
  <si>
    <t>Viscosity_AMP_EULA -NMB Internal.04302021.pdf</t>
  </si>
  <si>
    <t>They have been in production for a while, and we know for sure they are paying their subscription.</t>
  </si>
  <si>
    <t>Viscosity_AMP_Software_License_Agreement_08112020.docx</t>
  </si>
  <si>
    <t>Yes - DocuSign</t>
  </si>
  <si>
    <t>Project Manager</t>
  </si>
  <si>
    <t>Auto Insurance Combined Single Limit</t>
  </si>
  <si>
    <t>Auto Insurance per Occurrence2</t>
  </si>
  <si>
    <t>Melissa Schuetter</t>
  </si>
  <si>
    <t>Sabika Rizvi</t>
  </si>
  <si>
    <t>Beatriz Aguirre</t>
  </si>
  <si>
    <t>Leisa Pitner</t>
  </si>
  <si>
    <t>Sophie Aaron</t>
  </si>
  <si>
    <t>APEX Support</t>
  </si>
  <si>
    <t>DEQP Mobile- Staff Aug- 50162702</t>
  </si>
  <si>
    <t>DEUWI DOT-50162797</t>
  </si>
  <si>
    <t>ODA Implementation</t>
  </si>
  <si>
    <t>R+L Carriers</t>
  </si>
  <si>
    <t>Health Check</t>
  </si>
  <si>
    <t>Charles Kim</t>
  </si>
  <si>
    <t xml:space="preserve">Transnetyx </t>
  </si>
  <si>
    <t>Net 45</t>
  </si>
  <si>
    <t>NEED PO FOR EFFECTIVE DATE</t>
  </si>
  <si>
    <t>REVIEW OF MSA'S ARTICLE 5 - TAX LANGUAGE</t>
  </si>
  <si>
    <t>ABC Fitness Solutions</t>
  </si>
  <si>
    <t>Green</t>
  </si>
  <si>
    <t>Red (Gov Entity - sb tax exempt maybe)</t>
  </si>
  <si>
    <t>College of American Pathologists</t>
  </si>
  <si>
    <t>Yellow (no MSA copy)</t>
  </si>
  <si>
    <t>Red</t>
  </si>
  <si>
    <t>Lamar Trailers</t>
  </si>
  <si>
    <t>Region 10 Education Service Center</t>
  </si>
  <si>
    <t>Lower priority - their agreement MPA</t>
  </si>
  <si>
    <t>Ria Services</t>
  </si>
  <si>
    <t>Sanofi U.S. Services</t>
  </si>
  <si>
    <t>Yellow (no file folder)</t>
  </si>
  <si>
    <t>Need to get one drafted</t>
  </si>
  <si>
    <t>UMass Memorial Health</t>
  </si>
  <si>
    <t>SOW Status Report</t>
  </si>
  <si>
    <t>Customers</t>
  </si>
  <si>
    <t>Total</t>
  </si>
  <si>
    <t>Expiring &lt;90 days</t>
  </si>
  <si>
    <t>R</t>
  </si>
  <si>
    <t>Expiring &lt;180 days</t>
  </si>
  <si>
    <t>A</t>
  </si>
  <si>
    <t>G</t>
  </si>
  <si>
    <t>Sum of Monthly Budget</t>
  </si>
  <si>
    <t>Sum of Total Budget</t>
  </si>
  <si>
    <t>Grand Total</t>
  </si>
  <si>
    <t xml:space="preserve">Follet </t>
  </si>
  <si>
    <t>The term of this Agreement is twelve (12) months. The term of this SOW shall begin on the Effective Date, as 
described on page 1 of this SOW, and shall continue until the last day of the month following the first 
anniversary of the Effective Date (collectively, the “Initial Term”).1
Thereafter, this SOW shall automatically 
renew for successive one (1) year terms (each a “Renewal Term”) upon Client’s written approval. Fees upon 
renewal shall not increase by more than 5%.</t>
  </si>
  <si>
    <t>Terms of pricing
• Hourly rate for Time and Materials outside the scope of this Agreement will remain fixed at $175/hour for the term.
• The term of this Agreement is twelve (12) months.
• Viscosity will bill a minimum of 1 hour per service request.</t>
  </si>
  <si>
    <t>Missing SOW for Managed Services</t>
  </si>
  <si>
    <t>Client/Project</t>
  </si>
  <si>
    <t>Athenian Group</t>
  </si>
  <si>
    <t>LA Metro- Data Input/Automation</t>
  </si>
  <si>
    <t>No signed SOW</t>
  </si>
  <si>
    <t>Expired SOW</t>
  </si>
  <si>
    <t>Need to send new SOW/PO April 1st</t>
  </si>
  <si>
    <t>Follow up with Charles for signed copy</t>
  </si>
  <si>
    <t>SOW expired 08/10/2021</t>
  </si>
  <si>
    <t>No MSA in client folder</t>
  </si>
  <si>
    <t>Oak Ridge National Laboratory</t>
  </si>
  <si>
    <t>Exadata Patching - 19c-2023</t>
  </si>
  <si>
    <t xml:space="preserve">No Consultant Agreement on file -  invoicing is subject to the Consulting Agreement. </t>
  </si>
  <si>
    <t>Nothing on file for this</t>
  </si>
  <si>
    <t>Record Deposition Service</t>
  </si>
  <si>
    <t>SOW Expired - No current change order on file for hours</t>
  </si>
  <si>
    <t>No MSA and SOW is expired</t>
  </si>
  <si>
    <t>1099B Managed Services</t>
  </si>
  <si>
    <t>No MSA or signed SOW - SOW on file is from 2017 and not signed</t>
  </si>
  <si>
    <t>No signed MSA on file</t>
  </si>
  <si>
    <t>Contract expired in 2020</t>
  </si>
  <si>
    <t>Innatech APEX Project</t>
  </si>
  <si>
    <t xml:space="preserve">not sure what this is </t>
  </si>
  <si>
    <t>Texas de Brazil Phase II</t>
  </si>
  <si>
    <t>Not in ScrumTime</t>
  </si>
  <si>
    <t>Globalstar SOW</t>
  </si>
  <si>
    <t>MSA pending customer response</t>
  </si>
  <si>
    <t>Mountain West Pipeline</t>
  </si>
  <si>
    <t>Start date? No PO received - email request to submit invoice sent 03/07/2023 - No signed NDA in file</t>
  </si>
  <si>
    <t>Signed SOW - not marked as Open in ST</t>
  </si>
  <si>
    <t>National Mango</t>
  </si>
  <si>
    <t>Mango Volume &amp; Inventory System SOW - s/b expiring EOM April 2023 - not marked as open in ST</t>
  </si>
  <si>
    <t>Planning</t>
  </si>
  <si>
    <t>No MSA or NDA</t>
  </si>
  <si>
    <t>SOWs needing renewal as of 06.09.2023</t>
  </si>
  <si>
    <t>cancled</t>
  </si>
  <si>
    <t>The term of this SOW begins July 1st, 2022 (“SOW Effective Date”) and shall end on June 30th, 2023 (“SOW End Date”)</t>
  </si>
  <si>
    <t>Follett</t>
  </si>
  <si>
    <t>Short Description</t>
  </si>
  <si>
    <t>Effective</t>
  </si>
  <si>
    <t>Expiration</t>
  </si>
  <si>
    <t>Insurance</t>
  </si>
  <si>
    <t>Auto Insurance per Occurrence</t>
  </si>
  <si>
    <t>Carrier</t>
  </si>
  <si>
    <t>Policy #</t>
  </si>
  <si>
    <t>Deductable</t>
  </si>
  <si>
    <t>Aggregate Limits</t>
  </si>
  <si>
    <t>Per Occurrence</t>
  </si>
  <si>
    <t>Premiums</t>
  </si>
  <si>
    <t>VNA Cyber Liability</t>
  </si>
  <si>
    <t>VNA GL</t>
  </si>
  <si>
    <t>Truck Insurance Exchange (Farmers)</t>
  </si>
  <si>
    <t>$880.00/Year</t>
  </si>
  <si>
    <t>EMLI? 1m policy is seprate from the GL</t>
  </si>
  <si>
    <t>VNA Auto Liability</t>
  </si>
  <si>
    <t>*Included with GL</t>
  </si>
  <si>
    <t>VNA E&amp;O/Professional Liability Insurance/Tech Packages</t>
  </si>
  <si>
    <t>CFC Underwritting Limited - Lloyd's of London</t>
  </si>
  <si>
    <t>ESM0739753019</t>
  </si>
  <si>
    <t>$34,000/Year</t>
  </si>
  <si>
    <t>VNA Umbrella/Excess Liability</t>
  </si>
  <si>
    <t>VNA Workers Comp</t>
  </si>
  <si>
    <t>American Zurich Insurance Company (PayChex)</t>
  </si>
  <si>
    <t>WC 12-68-329-02</t>
  </si>
  <si>
    <t>*Included with PayChex</t>
  </si>
  <si>
    <t>Disease each employee: $2,000,000.00 | Disease Policy Limit: $2,000,000.00</t>
  </si>
  <si>
    <t>VT Cyber Liability</t>
  </si>
  <si>
    <t>VT GL</t>
  </si>
  <si>
    <t>Westchester - Chubbs Company</t>
  </si>
  <si>
    <t>F15695481004</t>
  </si>
  <si>
    <t>$3,077.00/Year</t>
  </si>
  <si>
    <t>Will GL move up to 5m with E&amp;O</t>
  </si>
  <si>
    <t>VT Auto Liability</t>
  </si>
  <si>
    <t>VT E&amp;O/Professional Liability Insurance</t>
  </si>
  <si>
    <t>We are approved for 5M as of 9/11/23 -effective date s/b Friday 9/15</t>
  </si>
  <si>
    <t>VT Umbrella/Excess Liability</t>
  </si>
  <si>
    <t>We do have</t>
  </si>
  <si>
    <t>VT Workers Comp</t>
  </si>
  <si>
    <t>The Standard Fire Insurance Company</t>
  </si>
  <si>
    <t>UB3T997035</t>
  </si>
  <si>
    <t>$15.00/Month</t>
  </si>
  <si>
    <t>Next Insurance - Disease each employee: $100,000.00 | Disease Policy Limit: $500,000.00</t>
  </si>
  <si>
    <t>OCS/VNA - need to change to VT</t>
  </si>
  <si>
    <t xml:space="preserve"> Insurance Info for Client's MSA</t>
  </si>
  <si>
    <t>VNA Current</t>
  </si>
  <si>
    <t>VT Current</t>
  </si>
  <si>
    <t>Comml General Liability</t>
  </si>
  <si>
    <t>Protects your business from claims that it caused bodily injuries or damage to another person's property</t>
  </si>
  <si>
    <t>Professional Liability</t>
  </si>
  <si>
    <t>Professional liability insurance (PLI) protects professionals such as accountants, lawyers, and physicians against negligence and other claims initiated by their clients. Professionals with expertise in a specific area require this type of insurance because general liability insurance policies do not offer protection against claims arising from negligence, malpractice, mistakes, or misrepresentation.</t>
  </si>
  <si>
    <t>E&amp;O and Professional Liability are the same - cyber falls under</t>
  </si>
  <si>
    <t>Cyber Liability</t>
  </si>
  <si>
    <t>Cyber liability insurance, also called cyber security insurance, protects small businesses from the high costs of a data breach or malicious software attack. It covers expenses such as customer notification, credit monitoring, legal fees, and fines.</t>
  </si>
  <si>
    <t>Automobile Liability</t>
  </si>
  <si>
    <t>Employer's Liability</t>
  </si>
  <si>
    <t>Employer’s liability insurance protects your business when an employee sues over a work injury or illness. It's a key policy since almost one in five small businesses will face employee litigation.</t>
  </si>
  <si>
    <t>Umbrella / Excess Liability</t>
  </si>
  <si>
    <t>Umbrella insurance is extra insurance that provides protection beyond existing limits and coverages of other policies. 
Excess liability insurance is coverage provided for the big, unexpected events that can have potentially catastrophic results on your business – from auto accidents to products liability claims.</t>
  </si>
  <si>
    <t>Workers Comp</t>
  </si>
  <si>
    <t>Workers' compensation pays for benefits like medical care to treat employees who are injured or become ill because of their jobs.</t>
  </si>
  <si>
    <t>Commercial Crime</t>
  </si>
  <si>
    <t>Provides protection from financial losses related to business-related crime, including theft by employees, forgery, robbery.</t>
  </si>
  <si>
    <t>Project Name</t>
  </si>
  <si>
    <t>Budget Cost</t>
  </si>
  <si>
    <t>Budget Hours</t>
  </si>
  <si>
    <t>Project Cycle</t>
  </si>
  <si>
    <t xml:space="preserve"> iTradeNetwork, Inc.</t>
  </si>
  <si>
    <t>[ODA] ODA Database Support</t>
  </si>
  <si>
    <t>Viscosity will provide professional support services for migrating and upgrading databases on the ODA_x000D_
before the January 9, 2021, go-live date.</t>
  </si>
  <si>
    <t>Closed</t>
  </si>
  <si>
    <t>@NGCSI</t>
  </si>
  <si>
    <t>[TIME] Field Timesheets</t>
  </si>
  <si>
    <t>NATURAL GAS COMPRESSION SYSTEMS, INC.	_x000D_
WEEKLY TIME SHEET</t>
  </si>
  <si>
    <t>[BRAZ] Brazos County</t>
  </si>
  <si>
    <t>Brazos County Acquisition (demo, do not use)</t>
  </si>
  <si>
    <t>ABC Financial </t>
  </si>
  <si>
    <t>[APX.RB] APEX -CHANGE ORDER - UNDO/ROLLBACK FUNCTION</t>
  </si>
  <si>
    <t>Provide Change Order for new Undo/Rollback Function identified by the technical team during a walkthrough</t>
  </si>
  <si>
    <t>Change Order to APEX Implementation</t>
  </si>
  <si>
    <t>[RLBCK] APEX Implementation - Roll Back Change Order</t>
  </si>
  <si>
    <t>Provide Change Order for new Undo/Rollback Function identified by the technical team during a walkthrough.</t>
  </si>
  <si>
    <t>[INF] Informatica - CLOSED-DO NOT USE</t>
  </si>
  <si>
    <t>Viscosity will provide services, in phases, to help Client deploy, migrate and configure Informatica for the EDW environment.</t>
  </si>
  <si>
    <t>PO21-15786</t>
  </si>
  <si>
    <t>[*FBIOP] FBI Performance and Optimization</t>
  </si>
  <si>
    <t>Viscosity North America, Inc. (“Viscosity”) will perform performance improvement and optimizations to Client’s Fitness BI (“FBI”) database and reporting system.</t>
  </si>
  <si>
    <t>PO22-22218</t>
  </si>
  <si>
    <t>Open</t>
  </si>
  <si>
    <t>[*PROSV] ABC - Professional Services</t>
  </si>
  <si>
    <t>Professional Services for ABC. These hours will be utilized for – Break-Fix, Performance tuning, Troubleshooting, Informatica support, SNOW ticket support and other Database Administration lead tasks.</t>
  </si>
  <si>
    <t>New - PO21-20556 - 430 hours (Nov 2021).  _x000D_
Old POs - both 20 hours:_x000D_
PO#: PO20-13708Date: 2020-09-22_x000D_
PO#: PO20-13420Date: 2020-08-27</t>
  </si>
  <si>
    <t>[EDW ] EDW Assessment - CLOSED-DO NOT USE</t>
  </si>
  <si>
    <t>CLOSED</t>
  </si>
  <si>
    <t>[*DTUPG] DataTrack 19c Upgrade - CLOSED-DO NOT USE</t>
  </si>
  <si>
    <t>Upgrade Data Tracker databases to Oracle Database 19c for utilizing Golden Gate, SPA and RAT. Production and Non-Production</t>
  </si>
  <si>
    <t>NEW - PO22-22192-300 hours - extension hours to finish, eff Jan 2022._x000D_
OLD - PO21-17233-548 hours - exhausted in Jan 2022</t>
  </si>
  <si>
    <t>[MGDSVC] ABC - Remote EDW Monitoring and Support</t>
  </si>
  <si>
    <t>Viscosity will provide remote managed support services to Client per the Scope &amp; Services section of the SOW. Scope is limited to EDW daily job monitoring, minor ticket support &amp; basic troubleshooting</t>
  </si>
  <si>
    <t>Off-shore monitoring support consultants @ $55/hr_x000D_
USA technical account management @ $175/hr_x000D_
(see SOW for details)_x000D_
https://viscositynorthamerica.sharepoint.com/:b:/s/VNA-Sales/ETJGnMxKt1JKl7MT9bB8z</t>
  </si>
  <si>
    <t>[FBI] Fitness BI Assessment - CLOSED-DO NOT USE</t>
  </si>
  <si>
    <t>Viscosity will assess the Fitness BI (FBI) database and reporting architecture to determine if the environment is suitable for performance, scalability and reliability to house the enterprise data war</t>
  </si>
  <si>
    <t>PO21-19989</t>
  </si>
  <si>
    <t>[APEX] APEX Implementation</t>
  </si>
  <si>
    <t>Consultant will provide UI/UX design, architecture and implementation of APEX for a front end, GUI system_x000D_
for users of the A&amp;D processes.</t>
  </si>
  <si>
    <t>Total PO: 138,180.00_x000D_
1 90 Hrs @130.00 11,700_x000D_
2 80 Hrs @175.00 14,000_x000D_
3 80 Hrs @175.00 14,000_x000D_
4 104 Hrs @175.00 18,200_x000D_
5 456 Hrs @175 59280_x000D_
6 120 Hrs @175 21000</t>
  </si>
  <si>
    <t>[DBALD] DBA Lead Fill - CLOSED-DO NOT USE</t>
  </si>
  <si>
    <t>CLOSED_x000D_
- PO hours fully used after October 2021 invoicing. Moving DBA Lead fill bucket under 'Professional Services' project.</t>
  </si>
  <si>
    <t>PO hours fully used after October 2021 invoicing._x000D_
Original SOW of 520, new SOW of 500 beginning Aug 2021;_x000D_
PO21-16446 and PO21-19035</t>
  </si>
  <si>
    <t>[EDWDBU] Oracle Database 19c / EDW Upgrade - CLOSED-DO NOT USE</t>
  </si>
  <si>
    <t>CLOSED_x000D_
- Old Project - database upgrades for Client’s EDW databases to_x000D_
Oracle Database 19c</t>
  </si>
  <si>
    <t>PO21-15504_x000D_
_x000D_
Old project - but had some hours left on PO as of end of May 2021</t>
  </si>
  <si>
    <t>ACGI</t>
  </si>
  <si>
    <t>[APCAL] APEX Calendar System</t>
  </si>
  <si>
    <t>[] On Demand Consulting</t>
  </si>
  <si>
    <t>[Tax] Tax Consulting</t>
  </si>
  <si>
    <t>[ERP] Oracle ERP Managed Services</t>
  </si>
  <si>
    <t>30 hours per month_x000D_
$ 4500 per month</t>
  </si>
  <si>
    <t>[ATS] Oracle HCM Managed Services</t>
  </si>
  <si>
    <t>10 hours per month $ 1500 per month</t>
  </si>
  <si>
    <t>America First Credit Union</t>
  </si>
  <si>
    <t>[] ODA Imaging</t>
  </si>
  <si>
    <t>American Family Ass. of Kentucky</t>
  </si>
  <si>
    <t>[CONVR] Oracle Conversion</t>
  </si>
  <si>
    <t>American Heart Association</t>
  </si>
  <si>
    <t>[Inform] AHA Informatica</t>
  </si>
  <si>
    <t>$175/hour for 60 hours max.</t>
  </si>
  <si>
    <t>[POC] Shareplex POC</t>
  </si>
  <si>
    <t>[MS] DBA Managed Services</t>
  </si>
  <si>
    <t>Apache Industrial Services</t>
  </si>
  <si>
    <t>[SALES] Sales Cloud Implementation</t>
  </si>
  <si>
    <t>Invoices Due Upon Receipt.  MSA nor SOW show billing cycle.</t>
  </si>
  <si>
    <t>[PROD] Production Support</t>
  </si>
  <si>
    <t>Production Support and Enhancements for the Apache Sales Cloud Implementation.</t>
  </si>
  <si>
    <t>Arkansas Office of Courts</t>
  </si>
  <si>
    <t>[Migrat] Migration Court Management System to Oracle Cloud lnfrastructure</t>
  </si>
  <si>
    <t>VNA will provide to provide Oracle Cloud lnfrastructure (OCl) Planning, Provisioning, and Post Migration Support_x000D_
services for their Court Management system.</t>
  </si>
  <si>
    <t>Arthur Rutenberg Homes</t>
  </si>
  <si>
    <t>[DB SS] Database Support Services</t>
  </si>
  <si>
    <t>[ODA] Performance Tuning and ODA Maintenance</t>
  </si>
  <si>
    <t>Asarco</t>
  </si>
  <si>
    <t>[2021] Development and Apex Support SOW</t>
  </si>
  <si>
    <t>Upon completion of this statement of work (SOW), Consultant will supply an APEX Subject Matter Expert to support its design and user experience effort.</t>
  </si>
  <si>
    <t>[ASDBE] Legacy Database Extraction Assessment</t>
  </si>
  <si>
    <t>Assess best way of extracting the data out of a legacy SQLBase database supporting a PeopleSoft installation. Provide recommendations on another system to migrate the database and replicate reports.</t>
  </si>
  <si>
    <t>[] Support Hours for Oracle and Apex</t>
  </si>
  <si>
    <t>Future Support Hours - If they use ANY</t>
  </si>
  <si>
    <t>[] APEX Training- 2020</t>
  </si>
  <si>
    <t>Training for Eric and Michael</t>
  </si>
  <si>
    <t>[TRN.21] BMW SQL/APEX TRAINING.2021</t>
  </si>
  <si>
    <t>(2) SQL Training Sessions: 1 day (8 hours each) - two (1 day) 8 hour sessions - 16 hours	_x000D_
(2) Intro to APEX Training Sessions: 3 days (24 hours each)  - so two (3 day) 8-hour sessions = 48 hours</t>
  </si>
  <si>
    <t>BMW PO ALSO IN FOLDER: Sales2.0/Contracts/BMW/TRAINING</t>
  </si>
  <si>
    <t>[TRN22] BMW - BMW SQL/APEX TRAINING.2022</t>
  </si>
  <si>
    <t>Consultant will deliver a workshop on Oracle APEX to Client that includes:_x000D_
_x000D_
1 - 8-Hour SQL Training Session</t>
  </si>
  <si>
    <t>PO is for 1 SQL 1 Day (8 Hours) and 1 APEX - 24</t>
  </si>
  <si>
    <t>[SUPDSH] Supplier KPI Dashboard</t>
  </si>
  <si>
    <t>Upon completion of this statement of work (SOW), Consultant and Client deliver a working APEX application on Client’s environment by integrating data for display into a Dashboard</t>
  </si>
  <si>
    <t>Bezzotech</t>
  </si>
  <si>
    <t>[BZP] Praxair Forms</t>
  </si>
  <si>
    <t>increased to 50 hours budget, do not bill Gerardo because he is not a US citizen, all billing should use Jerry Ward instead of Gerardo</t>
  </si>
  <si>
    <t>[APEX] Oracle APEX Timekeeping</t>
  </si>
  <si>
    <t>Brierley + Partners</t>
  </si>
  <si>
    <t>[EBS] Oracle EBS and Project Management</t>
  </si>
  <si>
    <t>Brierley is considering new application(s) to assist in making the monthly closing process move faster.  Currently it takes 20+ days to close.</t>
  </si>
  <si>
    <t>Main contact for this project are John Pedini – jpedini@brierley.com and Phillip Wallace - pwallace@brierley.com</t>
  </si>
  <si>
    <t>CCG POC</t>
  </si>
  <si>
    <t>[] CCG POC</t>
  </si>
  <si>
    <t>[APEX] APEX Support</t>
  </si>
  <si>
    <t>Contract expires 10/22/2022  (3 year term)</t>
  </si>
  <si>
    <t>[] PE Points Implementation</t>
  </si>
  <si>
    <t>[COE] COE</t>
  </si>
  <si>
    <t>[MS] Database Managed Services</t>
  </si>
  <si>
    <t>[Enhanc] Empower Enhancements 2020</t>
  </si>
  <si>
    <t>[MS-NEW] Managed Services</t>
  </si>
  <si>
    <t>VNA will provide MS to client 24 hours,7 days per week and 365 days per year.</t>
  </si>
  <si>
    <t>[] COE Empower Security Documentation</t>
  </si>
  <si>
    <t>CONCENTRA HEALTH SERVICES</t>
  </si>
  <si>
    <t>[OFMIG] Oracle Financials Migration</t>
  </si>
  <si>
    <t>Caidan Management Company</t>
  </si>
  <si>
    <t>[ODAX7] X7 Installation</t>
  </si>
  <si>
    <t>[] ODA Patching</t>
  </si>
  <si>
    <t>Payments by Caidan shall be payable_x000D_
within thirty (30) days following receipt of Viscosity’s complete and accurate invoice.</t>
  </si>
  <si>
    <t>[ODA As] Database +ODA Assessment</t>
  </si>
  <si>
    <t>1 week</t>
  </si>
  <si>
    <t>[CRM] Capital Sales CRM</t>
  </si>
  <si>
    <t>Design, build, and deliver a working Oracle APEX + Autonomous application on Client’s environment.</t>
  </si>
  <si>
    <t>[CRMSQL] CRM SQL Server Migration Support</t>
  </si>
  <si>
    <t>Support CTOT for their CRM SQL server migration from their current SQL 2012 Server to a new SQL 2016 Server as well as the move of their RamQuest production SQL database to a new SQL 2019 server.</t>
  </si>
  <si>
    <t>Circuit of the Americas, LLC</t>
  </si>
  <si>
    <t>[Assess] COTA Assessment</t>
  </si>
  <si>
    <t>[APEX] COTA Event Management System</t>
  </si>
  <si>
    <t>COTA's FRED Event Management System</t>
  </si>
  <si>
    <t>City of Orlando</t>
  </si>
  <si>
    <t>[JDEOCI] JDE Data Migration and Reporting</t>
  </si>
  <si>
    <t>Migrate existing JDE application’s data from AS400 to OAW/Produce Reports to access data and Ad Hoc tool for same.</t>
  </si>
  <si>
    <t>Pending PO, ETC 08/05</t>
  </si>
  <si>
    <t>Clay Lacy Aviation</t>
  </si>
  <si>
    <t>[CLAPOC] Quoting System POC</t>
  </si>
  <si>
    <t>[CLAEVA] Quoting System Evaluation</t>
  </si>
  <si>
    <t>ClubCorp</t>
  </si>
  <si>
    <t>[ODA] ODA DB Migration</t>
  </si>
  <si>
    <t>Planning,Pre-Migration Documentation,Non-Production Database Migration and Documentation -_x000D_
Migration of Non-Production Databases</t>
  </si>
  <si>
    <t>[ODA] Oracle DB Migration to ODA</t>
  </si>
  <si>
    <t>[] ODA Setup</t>
  </si>
  <si>
    <t>DataGuard Replication, Fault Injection testing, and UAT, Prod Standby deployment - 320 hours</t>
  </si>
  <si>
    <t>[TopBld] TopBuild License Review</t>
  </si>
  <si>
    <t>Viscosity will provide professional services for TopBuild (Client) to perform a license review of their current footprint for their e-biz ste, application and database tier.</t>
  </si>
  <si>
    <t>VNA subcontract thru Computex- work with cust on license renewals and review: Contract, Renewal Invoices, CSI inventory</t>
  </si>
  <si>
    <t>[DRSEBS] Dresser EBS Migration</t>
  </si>
  <si>
    <t>Computex's client is Dresser- we are subcontracting THROUGH Computex.</t>
  </si>
  <si>
    <t>Connect Your Care LLC</t>
  </si>
  <si>
    <t>[DGuard] Provision and Setup Oracle Active Data Guard in OCI Phoenix</t>
  </si>
  <si>
    <t>[POC] Oracle Cloud Proof of Value and Migration/Support</t>
  </si>
  <si>
    <t>DCI</t>
  </si>
  <si>
    <t>[DCI] DCI</t>
  </si>
  <si>
    <t>DENDREON PHARMACEUTICALS, LLC</t>
  </si>
  <si>
    <t>[SOA] SOA System Assessment</t>
  </si>
  <si>
    <t>[BOS3] BOS Phase-3</t>
  </si>
  <si>
    <t>[BAS] BAUI Assessment</t>
  </si>
  <si>
    <t>Richard Straggas_x000D_
Executive Director Budget Services/SRFM_x000D_
9400 North Central Expressway, Suite 500 _x000D_
Dallas, Texas 75231_x000D_
Work: (972) 925-3787_x000D_
Cell: 415-819-4200</t>
  </si>
  <si>
    <t>[LIC] License Assessment:</t>
  </si>
  <si>
    <t>Detail usage reports and deployment/remediation_x000D_
recommendation_x000D_
License Remediation: Includes deployment and installation of Oracle software options_x000D_
(DB Vault, DB Audit, Life Cycle Mgt Packs)</t>
  </si>
  <si>
    <t>Rate:_x000D_
$175/hr. All inclusive._x000D_
Total Amount: $42,000 not to exceed_x000D_
Number of Hours:_x000D_
240 Total</t>
  </si>
  <si>
    <t>[APEX] DISD APEX Support May/Jun 2020</t>
  </si>
  <si>
    <t>Rate per month is $1,662.50, which entitles them to 10 hours a month.  If they exceed, the rate will be $175 / hr.</t>
  </si>
  <si>
    <t>[LCASMT] License Assessment - 2022</t>
  </si>
  <si>
    <t>Effective April  02/22- PO Dated - 29-MAR-2022_x000D_
License review- 60 hours_x000D_
Env Audit- 40 hours_x000D_
Documentation - 20 hours_x000D_
PM - 24 hours</t>
  </si>
  <si>
    <t>[BOS] BOS Managed Services</t>
  </si>
  <si>
    <t>Billing is quarterly- Updated for October 2021- to go from 14K to 21K/150 Hours</t>
  </si>
  <si>
    <t>[80-SUP] General APEX Support - PO 835313</t>
  </si>
  <si>
    <t>This agreement has a bucket of 80 hours as directed by the Client.  Additional hours will be requested and authorized by the Client by means of an executed Change Order or additional SOW.</t>
  </si>
  <si>
    <t>Attached the PO link.  the SOW is located in the Dropbox Viscosity Sales 2.0/DISD/Contracts/DISD APEX Support SOW May - June 2021.v4_x000D_
_x000D_
PO is in the PO folder</t>
  </si>
  <si>
    <t>[BOSII] BOS Phase II-Enhancements</t>
  </si>
  <si>
    <t>The BOS Planning and Budgeting system for DISD will be enhanced with additional features to address usability, efficiency, modernization, supportability, and scalability.</t>
  </si>
  <si>
    <t>Scope was pulled back to allow critical deliverables needed in Q4 to be accomplished._x000D_
_x000D_
DISD iSupplier Portal: https://disdops.dallasisd.org/_x000D_
If you are not already registered on the portal pl</t>
  </si>
  <si>
    <t>[BA2] BAUI 2.0</t>
  </si>
  <si>
    <t>Rewrite of the DISD budgeting system BAUI.</t>
  </si>
  <si>
    <t>Dart Area Rapid Transit</t>
  </si>
  <si>
    <t>[] ODA Training</t>
  </si>
  <si>
    <t>2 weeks of on-site training_x000D_
Rate $175_x000D_
Not to exceed $15.750</t>
  </si>
  <si>
    <t>[DEQP-M] DEQP Mobile- Staff Aug- 50162702</t>
  </si>
  <si>
    <t>6 Mos- M. - BILL CARLISLE PRIMARY_x000D_
_x000D_
PIPELINE_x000D_
_x000D_
Pipeline division was sold off...we're still supporting through EOY likely</t>
  </si>
  <si>
    <t>[DEUWI ] DEUWI DOT-50162797</t>
  </si>
  <si>
    <t>12 Month Term Staff Augmentation - MARCO PEREIRA--  Added change order 02/18/2022 to add additional hours for ALan Quigley_x000D_
_x000D_
GAS</t>
  </si>
  <si>
    <t>[DOT] DOT</t>
  </si>
  <si>
    <t>Department of Transportation</t>
  </si>
  <si>
    <t>[EXXMLD] Oracle XMLDB Review</t>
  </si>
  <si>
    <t>[EXCAF] APEX Forms</t>
  </si>
  <si>
    <t>Executed Contract - 01/17/2022</t>
  </si>
  <si>
    <t>[APXWKS] APEX Training</t>
  </si>
  <si>
    <t>[BOH] Block of Hours and EDW Excellus</t>
  </si>
  <si>
    <t>[Phase2] Data Load Manager Phase 2</t>
  </si>
  <si>
    <t>[APXUPG] APEX Upgrade -Training and Support</t>
  </si>
  <si>
    <t>Provide strategy sessions to support conversion from APEX 5.1 to APEX 20.x, Training on the new features of APEX 20.x_x000D_
, Custom APEX 20.x training specifically on the Health Plan environment.</t>
  </si>
  <si>
    <t>Fixed budget hours to SOW hours.</t>
  </si>
  <si>
    <t>[Phase3] Excellus Data Loader Phase 3</t>
  </si>
  <si>
    <t>[Plan] Planning Project</t>
  </si>
  <si>
    <t>[] FNF TRAX DB UPGRADE TO ORACLE DATABASE 19C (19C)</t>
  </si>
  <si>
    <t>TRAX Oracle 19c database upgrade and Disaster Recovery database environment buildout</t>
  </si>
  <si>
    <t>[19c Up] 19c Upgrade</t>
  </si>
  <si>
    <t>[MS] Managed Services</t>
  </si>
  <si>
    <t>[WEBTRX] TRAX Hardware Assessment</t>
  </si>
  <si>
    <t>WebSphere TRAX Assessment: _x000D_
Viscosity will perform a two week WebSphere assessment of the TRAX WebSphere environment</t>
  </si>
  <si>
    <t>[] Oracle Database 19c Upgrade</t>
  </si>
  <si>
    <t>[TRAX] TRAX and agentTRAX System Migration and Modernization</t>
  </si>
  <si>
    <t>Viscosity will help FNF migrate and modernize the TRAX and agentTRAX application components, including the Linux, Windows,_x000D_
SQL Server, IIS, SSIS/SSRS, WebSphere, Java, and Oracle infrastructure.</t>
  </si>
  <si>
    <t>[ORSQL] Oracle to SQL Migration</t>
  </si>
  <si>
    <t>Viscosity will migrate the Policy database and the Orders database from Oracle to SQL Server,_x000D_
leveraging custom scripts and SSMA (SQL Server Migration Assistant) for the migration.</t>
  </si>
  <si>
    <t>FleetFarm</t>
  </si>
  <si>
    <t>[] Exadata</t>
  </si>
  <si>
    <t>[FLREAL] Florida Realtors Monitoring Support Services</t>
  </si>
  <si>
    <t>FormFactor</t>
  </si>
  <si>
    <t>[KronIn] Kronos Integration</t>
  </si>
  <si>
    <t>Consultant will assist Client in configuring Oracle Cloud Infrastructure and will design, test, and build the data integration between Oracle HCM Cloud, ADP, and KRONOS third party software systems.</t>
  </si>
  <si>
    <t>Gradkell Systems Inc.</t>
  </si>
  <si>
    <t>[] Gradkell Systems Inc.</t>
  </si>
  <si>
    <t>Consultant will provide client with 4 days of on-site Training for a total of $16,000_x000D_
APEX Traininq Onsite 4.000/ day_x000D_
Ongoing Supprt or Out-of-Scope Training 175| hour</t>
  </si>
  <si>
    <t>[APEX] Oracle and APEX Support</t>
  </si>
  <si>
    <t>1. Support Hours (10 hours per month)_x000D_
2. Overage and Out-of-Scope Support</t>
  </si>
  <si>
    <t>Grand Rapids Community College</t>
  </si>
  <si>
    <t>[] Block of Hours For Database Upgrade Support</t>
  </si>
  <si>
    <t>These hours will be utilized for tasks regarding resolution to the current upgrade issue being faced while upgrading to Oracle Database 19c.</t>
  </si>
  <si>
    <t>GroupWare</t>
  </si>
  <si>
    <t>[InMoun] Intermoutain Healthcare</t>
  </si>
  <si>
    <t>[Harris] Harris County</t>
  </si>
  <si>
    <t>[EXACC] HCTRA - Oracle ExadataCC Deployment Support</t>
  </si>
  <si>
    <t>Viscosity North America (Viscosity) will support BDO (Client) with Oracle Exadata Cloud @ Customer_x000D_
(later referred to as ExaCC) Deployment at Harris County Toll Road Authority (HCTRA).</t>
  </si>
  <si>
    <t>Time &amp; Materials- no set budget_x000D_
Executed - 04/04/2022_x000D_
Bill to: BDO USA, LLP_x000D_
2929 Allen Parkway, 20th Floor Houston, TX 77019_x000D_
Tel: (713) 407-3265</t>
  </si>
  <si>
    <t>HRL LABORATORIES</t>
  </si>
  <si>
    <t>[Mig/Up] Migration and Upgrade</t>
  </si>
  <si>
    <t>Assist HRL to migrate and upgrade their Oracle databases from legacy HP hardware to the Oracle Database Appliance (ODA).</t>
  </si>
  <si>
    <t>Harrisburg</t>
  </si>
  <si>
    <t>[AS] Apex Support</t>
  </si>
  <si>
    <t>On-Demand Apex Support</t>
  </si>
  <si>
    <t>[] Consulting and Solution Architecture</t>
  </si>
  <si>
    <t>INOVIO/NAB</t>
  </si>
  <si>
    <t>[Share] SharePlex Implementation</t>
  </si>
  <si>
    <t>Viscosity will provide technical direction, roadmap and implementation expertise for Inovio/Nab SharePleximplementation to set up replication between the data centers in an active/active configuration</t>
  </si>
  <si>
    <t>IQNavigator</t>
  </si>
  <si>
    <t>[Hours] Professional Service Hours</t>
  </si>
  <si>
    <t>Viscosity will provide a block of hours for consulting services to IQN. These hours will be utilized for tasks such as Oracle database upgrade roadmap, upgrade/patching Exadata platform, upgrade/patch</t>
  </si>
  <si>
    <t>[] EBS Appliatcation Migration and Upgrade to 11.2.0.4</t>
  </si>
  <si>
    <t>Viscosity will work with IQN/Beeline DBA team to provide consulting services to migrate the E-Business Suite application server from Solaris to Linux and to upgrade the backend database</t>
  </si>
  <si>
    <t>[INF] Infrastructure</t>
  </si>
  <si>
    <t>[CLDAUD] Audit Project</t>
  </si>
  <si>
    <t>Comprehensive data center assessment and audit services which includes building a custom data center audit plan and assisting IQ Navigator with the physical Oracle Cloud audit</t>
  </si>
  <si>
    <t>Cloud Assessment (120 hours), Cloud Audit (160 hours), Physical Audit (320 hours)</t>
  </si>
  <si>
    <t>[] Oracle Database Performance Tuning</t>
  </si>
  <si>
    <t>[APP] Application Migration</t>
  </si>
  <si>
    <t>Convert the current Front Office Java application to Java Cloud Service and Microservices to Kubernetes in Oracle Cloud Infrastructure.</t>
  </si>
  <si>
    <t>[EBSEXA] EBS Migration to ExaCC and EBS DR</t>
  </si>
  <si>
    <t>CConsulting services to migrate the E-Business Ste database from Exadata X3 to Exadata Cloud at Customer (ExaCC) VM for Development and Production/ DR</t>
  </si>
  <si>
    <t>https://nam11.safelinks.protection.outlook.com/?url=https%3A%2F%2Fbeeline.lightning.force.com%2Flightning%2Fr%2FOrder%2F8013n000002L0ptAAC%2Fview%3Fws%3D%252Flightning%252Fr%252FAccount%252F0013900001</t>
  </si>
  <si>
    <t>[DBMIG] Database Migration</t>
  </si>
  <si>
    <t>[OUTSCO] Out of Scope Work</t>
  </si>
  <si>
    <t>Work done out of scope of the Migration and Upgrade SOW</t>
  </si>
  <si>
    <t>[Retain] Retainer Services</t>
  </si>
  <si>
    <t>4 hours per month are dedicated to Retainer Services meant to review the database environment on a regular basis.</t>
  </si>
  <si>
    <t>4 hours are billed at 1k per month for Retainer.  Overages are billed at $175/hr.  Billed through VT.</t>
  </si>
  <si>
    <t>[OEM] OEM</t>
  </si>
  <si>
    <t>Oracle Enterprise Manager set up</t>
  </si>
  <si>
    <t>[19c] 19c Upgrade</t>
  </si>
  <si>
    <t>Viscosity will provide professional support services to upgrade IdenTrust current Oracle database environment from 18c to 19c.</t>
  </si>
  <si>
    <t>[Pat] Patching and Upgrade</t>
  </si>
  <si>
    <t>[Encryp] Encryption Project</t>
  </si>
  <si>
    <t>[ManSer] Managed Services</t>
  </si>
  <si>
    <t>Currently out of scope</t>
  </si>
  <si>
    <t>[MIGRUP] Migration and Upgrade</t>
  </si>
  <si>
    <t>Estimate: 6-7 week upgrade to_x000D_
Oracle 12.2 and migration, plus 1 week of post-production support and transition. The estimated total cost_x000D_
of the upgrade and migration is $48,000.00._x000D_
G. Position</t>
  </si>
  <si>
    <t>$150/hr for estimated 6-7 weeks after assessment.</t>
  </si>
  <si>
    <t>[DBAsse] Database Assessment</t>
  </si>
  <si>
    <t>Viscosity will perform a two week database assessment of the Oracle environment on the existing ODAs</t>
  </si>
  <si>
    <t>The estimated total cost is capped at $12,000.00_x000D_
_x000D_
PO is for 48k (to be consumed by migration/upgrade)</t>
  </si>
  <si>
    <t>Ika Systems</t>
  </si>
  <si>
    <t>[OS] Operating System Support</t>
  </si>
  <si>
    <t>[REP] Replication Support</t>
  </si>
  <si>
    <t>[BKUP] Backup Administration</t>
  </si>
  <si>
    <t>[GG] Golden Gate Services</t>
  </si>
  <si>
    <t>[INCOMM] ExaData</t>
  </si>
  <si>
    <t>[Exadat] Exadata &amp; DB Patching</t>
  </si>
  <si>
    <t>Viscosity will work with InComm (Client) to patch their Oracle Exadata X9-M and review the patching procedure with the team. Viscosity will provide a week of post-production support of the database</t>
  </si>
  <si>
    <t>[] Oracle BigCommerce Integration</t>
  </si>
  <si>
    <t>[] Jiffy Lube Assessment - CLOSED-DO NOT USE</t>
  </si>
  <si>
    <t>Viscosity will conduct a discovery and assessment exercise of Jiffy Lube’s transactional data by reviewing _x000D_
stored procedures, schema objects and C# application.</t>
  </si>
  <si>
    <t>[DW] Jiffy - DW solution &amp; Data Resiliency analysis</t>
  </si>
  <si>
    <t>Kemper</t>
  </si>
  <si>
    <t>[PQ] Power Query</t>
  </si>
  <si>
    <t>[UG] Upgrade</t>
  </si>
  <si>
    <t>Konami Gaming Inc</t>
  </si>
  <si>
    <t>[JavRep] Java Report Conversion</t>
  </si>
  <si>
    <t>[konpls] Konami PL/SQL Help</t>
  </si>
  <si>
    <t>Kore</t>
  </si>
  <si>
    <t>[] SQL Server Assessment Hours</t>
  </si>
  <si>
    <t>LCA Vision</t>
  </si>
  <si>
    <t>[RBAL] ASM Rebalance and Health Check</t>
  </si>
  <si>
    <t>Schedule: 4/18/18-9/30/18 (Not to exceed $9,900.00)</t>
  </si>
  <si>
    <t>$9,900.00 to be paid as a fixed fee due at project completion</t>
  </si>
  <si>
    <t>[] Support LGS Labs’ Kinetic User Repair Tracker KURT database</t>
  </si>
  <si>
    <t>[APEX] APEX and Database Upgrade</t>
  </si>
  <si>
    <t>LeeSar</t>
  </si>
  <si>
    <t>[CMS] LeeSar CMS</t>
  </si>
  <si>
    <t>[CMS OC] LeeSar CMS Other Changes</t>
  </si>
  <si>
    <t>Logicalis</t>
  </si>
  <si>
    <t>[Legacy] Legacy Health</t>
  </si>
  <si>
    <t>[CUM] Cummins</t>
  </si>
  <si>
    <t>Schedule: 4/11/18-6/30/18_x000D_
$25,000.00 to be paid as a fixed fee due</t>
  </si>
  <si>
    <t>[Christ] Christ Hospital</t>
  </si>
  <si>
    <t>Logicalis, Inc.</t>
  </si>
  <si>
    <t>[] Oracle Hyperion Health Check &amp; System Assessment</t>
  </si>
  <si>
    <t>4/11/18-6/30/18 (Not to exceed $25,000.00)</t>
  </si>
  <si>
    <t>[MntFre] Montefiore Medical Center</t>
  </si>
  <si>
    <t>SERVICE PROVIDER will perform a comprehensive review of the EDW database(s), ETL processes and interfaces for the END USER that pull data from Exadata. and Exadata Environment.</t>
  </si>
  <si>
    <t>Kick-off 04/06/2022</t>
  </si>
  <si>
    <t>McClatchy</t>
  </si>
  <si>
    <t>[ODA] Viscosity Consulting Services On The ODA</t>
  </si>
  <si>
    <t>Viscosity will perform remote DBA managed services for the Oracle Database Appliance (ODA) including the OS, Grid_x000D_
Infrastructure and databases</t>
  </si>
  <si>
    <t>[DBS] Database Support Services</t>
  </si>
  <si>
    <t>Viscosity will upgrade McClatchy databases to Oracle 12.2</t>
  </si>
  <si>
    <t>[Licens] Oracle License Assessment</t>
  </si>
  <si>
    <t>Upon completion of this statement of work (SOW), Viscosity will deliver a license review of all pre-defined Oracle Software Technology environments</t>
  </si>
  <si>
    <t>[SLU] SUSE Linux Upgrade</t>
  </si>
  <si>
    <t>112 hours at 150 per hour for total of 16,800.  Provision for post upgrade (out of scope) support.</t>
  </si>
  <si>
    <t>[] Disk Failure Support</t>
  </si>
  <si>
    <t>[Assess] Oracle Security Assessment</t>
  </si>
  <si>
    <t>[IO Per] IO Performance Review</t>
  </si>
  <si>
    <t>[EBusi] E-Business Suite Performance Assessment</t>
  </si>
  <si>
    <t>Metro Technology Centers</t>
  </si>
  <si>
    <t>[] APEX Security Review</t>
  </si>
  <si>
    <t>175/hour</t>
  </si>
  <si>
    <t>Meyer Tools</t>
  </si>
  <si>
    <t>[Oracle] Oracle Forms Consultative Services</t>
  </si>
  <si>
    <t>VNA'll provide professional consultative services in an advisory role for upgrading Oracle Forms, high availability solutions, SQR report migrations,and database migrations/upgrades with industry best</t>
  </si>
  <si>
    <t>Microchip</t>
  </si>
  <si>
    <t>[] OVM Assessment</t>
  </si>
  <si>
    <t>[OCI] Oracle Cloud Infrastructure Migration</t>
  </si>
  <si>
    <t>Moving on premise infrastructure to Oracle Cloud.</t>
  </si>
  <si>
    <t>[MANPWR] APPS - Oracle Cloud Implementation</t>
  </si>
  <si>
    <t>Consultant and Client will jointly design, build and deploy the core applications on the Oracle Cloud.</t>
  </si>
  <si>
    <t>05/26:  Changed rates to $0 across board per Jerry on 05/26 via Team Chat:_x000D_
_x000D_
"Told adam we would make the rate $0 per hour for new invoices.. "</t>
  </si>
  <si>
    <t>[MS365] MS365 to Oracle Cloud Migration_DO NOT USE GOING FORWARD</t>
  </si>
  <si>
    <t>Consultant will advise and assist Viscosity with the architecture of Microsoft 365 and Azure Cloud, and migration to Oracle.</t>
  </si>
  <si>
    <t>[MSB.RB] MSB - Reboot Project 2022</t>
  </si>
  <si>
    <t>This project is a reboot of the 2019 project that was paused.  Keeping it separate.  It will include UI enhancements in addition to orig functionality.</t>
  </si>
  <si>
    <t>Mortgage Connect, LP</t>
  </si>
  <si>
    <t>[] SQL Server Assessment</t>
  </si>
  <si>
    <t>Viscosity will execute a review of the SQL Server environment focusing on the virtualized_x000D_
infrastructure configuration for SQL best practices, backup &amp; recovery, disaster recovery_x000D_
considerations</t>
  </si>
  <si>
    <t>[] SQL Server Resource</t>
  </si>
  <si>
    <t>Viscosity will provide a full-time, SQL Server resource for two months, to provide performance_x000D_
tuning and monitoring, database migration</t>
  </si>
  <si>
    <t>[APX TR] APEX Training</t>
  </si>
  <si>
    <t>[MaVIS] MANGO VOLUME &amp; INVENTORY SYSTEM</t>
  </si>
  <si>
    <t>Design the Mango Volume &amp; Inventory System, and Consultant will develop to that design</t>
  </si>
  <si>
    <t>SOW is in Dropbox Sales.2.0/Contracts/NMB</t>
  </si>
  <si>
    <t>[NMGDBM] ODA Migration</t>
  </si>
  <si>
    <t>Start - 8/2/22_x000D_
Fixed bid Professional Services requirements._x000D_
The Neiman Marcus Group LLC_x000D_
1618 Main St_x000D_
Attn: Office of Vendor Mgt_x000D_
One Marcus Square_x000D_
Dallas Texas 75201_x000D_
VMO #:5813</t>
  </si>
  <si>
    <t>[ZFS] ZFS Setup and Configuration</t>
  </si>
  <si>
    <t>Only send invoice when completing the project.  Time and Material Billing.</t>
  </si>
  <si>
    <t>[ORA_DB] Oracle Database</t>
  </si>
  <si>
    <t>ODTUG</t>
  </si>
  <si>
    <t>[OMC] Open Mic for Charity App</t>
  </si>
  <si>
    <t>Jerry and Erik are working for "pro-bono" mini project with ODTUG</t>
  </si>
  <si>
    <t>[Pat&amp;Up] Exadata Database Patching and Upgrade</t>
  </si>
  <si>
    <t>Patch their Oracle Exadata X6 _x000D_
Review &amp; Upgrade Exadata_x000D_
DB to Oracle DB 18c_x000D_
Post Production support - 1 week</t>
  </si>
  <si>
    <t>[EXAPTC] Exadata Patching - 19c-2022</t>
  </si>
  <si>
    <t>Viscosity will work with Oak Ridge National Laboratory (Client) to patch their Oracle Exadata_x000D_
X6 to the latest N-1 release update (RU) and review the patching procedure with the team on_x000D_
their Oracle</t>
  </si>
  <si>
    <t>[] Patch Oracle Exadata X6</t>
  </si>
  <si>
    <t xml:space="preserve">Ocwen Financial Corporation </t>
  </si>
  <si>
    <t>[SAMPF] SERVICES AND MATERIALS PRICING AND FEES</t>
  </si>
  <si>
    <t>Company will provide CUSTOMER with professional support services as an extension of the CUSTOMER team for CUSTOMER’s Oracle environment to assist in the packing/shutdown of Exadata to new location</t>
  </si>
  <si>
    <t>Oildex</t>
  </si>
  <si>
    <t>[MigSup] Migration Strategy and Support</t>
  </si>
  <si>
    <t>PHH</t>
  </si>
  <si>
    <t>[UPGRD] Database Upgrade</t>
  </si>
  <si>
    <t>[EXA] Exadata Upgrade</t>
  </si>
  <si>
    <t>Paid Time Off</t>
  </si>
  <si>
    <t>[PTO] Paid Time Off</t>
  </si>
  <si>
    <t>Use this bucket to record time off</t>
  </si>
  <si>
    <t>Paradyme Management</t>
  </si>
  <si>
    <t>[] Performance Tuning</t>
  </si>
  <si>
    <t>Viscosity will perform a one-week database performance tuning engagement of the Oracle environment on_x000D_
the existing infrastructure.</t>
  </si>
  <si>
    <t>[BENDB] BENDB</t>
  </si>
  <si>
    <t>[CA] CA Performance Tuning and Monitoring</t>
  </si>
  <si>
    <t>[Bucket] Bucket of Hours</t>
  </si>
  <si>
    <t>[ERD] ERD Exadata</t>
  </si>
  <si>
    <t>[ADW] ADW- Exadata</t>
  </si>
  <si>
    <t>PreferredONE</t>
  </si>
  <si>
    <t>[RemDBA] Remote DBA for ODA</t>
  </si>
  <si>
    <t>Provide health check of current ODA environment_x000D_
o Assess current configuration and ensure no outstanding issues are present_x000D_
• Add storage to ACFS file systems for Oracle databases</t>
  </si>
  <si>
    <t>Premier</t>
  </si>
  <si>
    <t>[DBA] Database HA Assessment</t>
  </si>
  <si>
    <t>Senior Oracle Database administrator @ $165_x000D_
Hours 670-770_x000D_
Investment not to exceed: $110,550 to $127,050</t>
  </si>
  <si>
    <t>[HA] High Availability Proposal</t>
  </si>
  <si>
    <t>4 months_x000D_
$110,550 $127,050_x000D_
670-770</t>
  </si>
  <si>
    <t>QUIC Health System</t>
  </si>
  <si>
    <t>[] QUIC Health System</t>
  </si>
  <si>
    <t>Non Revenue</t>
  </si>
  <si>
    <t>[MemoH] Memorial Hermann Healthcare System</t>
  </si>
  <si>
    <t>[SHPLX] Shareplex</t>
  </si>
  <si>
    <t>[REGEN] Regenstrief</t>
  </si>
  <si>
    <t>Quest Shareplex Project Billed through Quest</t>
  </si>
  <si>
    <t>Requisition Num (Comp Abbr./Siebel Quote#): 1-582PINF Supplier Name: Viscosity North America_x000D_
Contractor Name: Steve Fowler_x000D_
Project Num: 39180_x000D_
Task Num: 1000_x000D_
Bill Rate/HR: $150.00, 36 hours max</t>
  </si>
  <si>
    <t>[DCCFS] DC Child and Family Services Agency</t>
  </si>
  <si>
    <t>[UPS] UPS</t>
  </si>
  <si>
    <t>[OKC] OKC</t>
  </si>
  <si>
    <t>NEED PO_x000D_
Task: 3000_x000D_
PC: 38304</t>
  </si>
  <si>
    <t>NEED PO_x000D_
Client Name	Oklahoma City				_x000D_
Client Contact  Terran Tidwell				_x000D_
Quest PM	Kenyatte Simuel				_x000D_
Report Date	Wednesday, July 11, 2018</t>
  </si>
  <si>
    <t>[TI] Texas Instruments Inc.</t>
  </si>
  <si>
    <t>Project Num: 38614_x000D_
Supplier # 228829</t>
  </si>
  <si>
    <t>[Yaz] Yazaki North America Inc.</t>
  </si>
  <si>
    <t>[Init] Init Innovations</t>
  </si>
  <si>
    <t>Project 39341</t>
  </si>
  <si>
    <t>[DISA] Defense Information Systems Agency</t>
  </si>
  <si>
    <t>[Corsai] Corsair</t>
  </si>
  <si>
    <t>PC 39308_x000D_
Task 1000</t>
  </si>
  <si>
    <t>[Navi] NaviHealth</t>
  </si>
  <si>
    <t>PC 40055_x000D_
Task 1000</t>
  </si>
  <si>
    <t>[LandsE] Lands End Inc.</t>
  </si>
  <si>
    <t>[NABC] North American Bancard</t>
  </si>
  <si>
    <t>[AZONE] AutoZone</t>
  </si>
  <si>
    <t>22 hours @ 150.</t>
  </si>
  <si>
    <t>[EQ] EQUILEND LLC</t>
  </si>
  <si>
    <t>[Intact] INTACT FINANCIAL CORP</t>
  </si>
  <si>
    <t>The goal of this project is to use SharePlex to migrate one of the mission critical Oracle 11.2.0.4 database on AIX to a new Linux 64bit environment while upgrading the database to Oracle 19c</t>
  </si>
  <si>
    <t>[NHealt] Northwell Health</t>
  </si>
  <si>
    <t>The goal of this project is to use SharePlex to migrate the current environment from AIX to a new AIX box while upgrading the database to 12.1 from 11.2.0.4, with near zero downtime.</t>
  </si>
  <si>
    <t>[FL Rea] Florida Realtors</t>
  </si>
  <si>
    <t>[FINTRA] Financial Transactions and Reports Analysis Centre of Canada</t>
  </si>
  <si>
    <t>[] First Data Corporation</t>
  </si>
  <si>
    <t>[Ahls] Ahlstrom Munksjo NA Specialty Solutions LLC</t>
  </si>
  <si>
    <t>[EmTile] Emser Tile</t>
  </si>
  <si>
    <t>[] Inovio/NAB</t>
  </si>
  <si>
    <t>[] Full Spectrum Telecommunication Co.</t>
  </si>
  <si>
    <t>[RDSORM] Oracle Reports Modernization</t>
  </si>
  <si>
    <t>Phase 1</t>
  </si>
  <si>
    <t>[RDSAMT] Additional Media Types</t>
  </si>
  <si>
    <t>[RDSPH5] Oracle Reports Modernization Phase 5</t>
  </si>
  <si>
    <t>Provide Oracle Reports professional services to modernize their current reports being used</t>
  </si>
  <si>
    <t>[RDSEML] Email Project</t>
  </si>
  <si>
    <t>[RDSPH6] Oracle Reports Modernization Phase 6</t>
  </si>
  <si>
    <t>[RDSOSU] OSU Report Layout</t>
  </si>
  <si>
    <t>[RDSPH2] Oracle Reports Modernization Phase 2</t>
  </si>
  <si>
    <t>•	Modify 2019 New RDS Reports _x000D_
•	Make documented modifications and update additional fields for reports_x000D_
•	Update logo and color on the UI Menu and the Administrative Menu</t>
  </si>
  <si>
    <t>[RS] Ria Services</t>
  </si>
  <si>
    <t>[UPG2] 2018 Reports Upgrade and Q2 PSU</t>
  </si>
  <si>
    <t>[UPG] 12c Upgrade Project - DBA</t>
  </si>
  <si>
    <t>[RIAMS] DBA Managed Services</t>
  </si>
  <si>
    <t>[RIA19C] Database Upgrade of 19c</t>
  </si>
  <si>
    <t>[RIASSN] SSNC</t>
  </si>
  <si>
    <t>Riceland Foods, Inc.</t>
  </si>
  <si>
    <t>[] Oracle and ADW Support</t>
  </si>
  <si>
    <t>RoundTower</t>
  </si>
  <si>
    <t>[AWS] AWS Workload Migration POC</t>
  </si>
  <si>
    <t>Ocwen Workload Migration POC shall not exceed $120,000</t>
  </si>
  <si>
    <t>SCGTS</t>
  </si>
  <si>
    <t>[MGSRVC] ITIMS 2 XGEN Managed Services</t>
  </si>
  <si>
    <t>Viscosity Technology will provide remote managed support services to Client according to the terms described within this SOW.</t>
  </si>
  <si>
    <t>Invoicing: 	_x000D_
Managed services will be billed in advance on a the first of each month. Invoice payments are per agreement.</t>
  </si>
  <si>
    <t>[POC] SCGTS POC</t>
  </si>
  <si>
    <t>Upon completion of this statement of work (SOW), Consultant and Client will deliver a POC Version and training of the Purchasing form utilizing Oracle Apex and FOEX/Sencha best practices.</t>
  </si>
  <si>
    <t>Initial POC, Rohith Matthew said it is okay to exceed by 1 or 2 man weeks, because of scope changes.</t>
  </si>
  <si>
    <t>[ITIMS] iTIMS 2 Next Generation</t>
  </si>
  <si>
    <t>[S-TI] SURGE - Technical Integration</t>
  </si>
  <si>
    <t>[S-PS] SURGE - Production Support</t>
  </si>
  <si>
    <t>[RB6K] Rebate 6K</t>
  </si>
  <si>
    <t>[SAP] SAP Transition</t>
  </si>
  <si>
    <t>Various Apex applications and extensions to ERP Cloud.</t>
  </si>
  <si>
    <t>[S-PM] SURGE - Project Management</t>
  </si>
  <si>
    <t>[S- ERP] SURGE- Oracle ERP (Financials)</t>
  </si>
  <si>
    <t>[S-EPM2] SURGE  - Oracle EPM</t>
  </si>
  <si>
    <t>[DW1] Data Warehouse</t>
  </si>
  <si>
    <t>The data store (data warehouse) will provide a single source of truth for all operational reporting, financial reports, and non-financial reports for STGEN. It shall consist of three components a) Sta</t>
  </si>
  <si>
    <t>[FCCS] STgen FCCS</t>
  </si>
  <si>
    <t>Support larger STgen program, specific to supporting setup, configuration and troubleshooting around the FCCS implementation.</t>
  </si>
  <si>
    <t>[S-FA] SURGE- Oracle FA</t>
  </si>
  <si>
    <t>Fixed Assets</t>
  </si>
  <si>
    <t>[INV] Inventory</t>
  </si>
  <si>
    <t>DO NOT USE- REFER TO SCM- INVENTORY</t>
  </si>
  <si>
    <t>[S-OOS] SURGE - Out of Scope</t>
  </si>
  <si>
    <t>Any activities not directly related to implementation or rollout, including audit tasks.</t>
  </si>
  <si>
    <t>[S-DW] SURGE - Data Warehouse</t>
  </si>
  <si>
    <t>Continued build of data warehouse including pulling data from other sources, reformatting and integrating data, and building reports and data visualizations.</t>
  </si>
  <si>
    <t>[S-INV] SURGE - Inventory and Manufacturing</t>
  </si>
  <si>
    <t>Build lightweight and lean inventory and manufacturing solution that intrates to Oracle ERP and SCM.</t>
  </si>
  <si>
    <t>[S-SCM] SURGE- Oracle SCM (Procurement)</t>
  </si>
  <si>
    <t>Implement Procurement, requisitioning, purchasing, and receiving across Canada, Australia, and New Zealand.</t>
  </si>
  <si>
    <t>[AUGM] Staff Augmentation</t>
  </si>
  <si>
    <t>Staff Augmentation- Supplementing Development Staff</t>
  </si>
  <si>
    <t>Specific to initial engagement for Francis Oyakhire; pending SOW in progress by Jerry Ward.</t>
  </si>
  <si>
    <t>[EPM] EPM Implementation</t>
  </si>
  <si>
    <t>Consultant and Client will implement the Oracle Financial Consolidation and Close Cloud Service.  Upon conclusion of Phase 1, Client will have the minimum viable product of a configured and functional</t>
  </si>
  <si>
    <t>[CLD] Cloud Transition</t>
  </si>
  <si>
    <t>Tasks associated with transitioning from on premise apps/infra to the cloud (office/oracle/azure).</t>
  </si>
  <si>
    <t>[DEMO] Demo work/meetings for FCCS and APEX</t>
  </si>
  <si>
    <t>[ERP] ERP Implementation-</t>
  </si>
  <si>
    <t>Implement the Oracle ERP Cloud.</t>
  </si>
  <si>
    <t>[SCM] SCM Implementation</t>
  </si>
  <si>
    <t>Implement the Oracle SCM Procurement and Self-Service Procurement Cloud Service.</t>
  </si>
  <si>
    <t>[CP1] Customer Portal</t>
  </si>
  <si>
    <t>Customer Portal and Invoice Translation for Italy.</t>
  </si>
  <si>
    <t>Salt Lake Community College</t>
  </si>
  <si>
    <t>[APEX] APEX Application Review</t>
  </si>
  <si>
    <t>Viscosity will perform a review of SLCC’s existing APEX application and provide_x000D_
recommendations based on industry best practices.</t>
  </si>
  <si>
    <t>[] 1099B Managed Services</t>
  </si>
  <si>
    <t>SeaOne</t>
  </si>
  <si>
    <t>[ERP] ERP Implementation</t>
  </si>
  <si>
    <t>Implement the Oracle Cloud ERP and ancillary systems.</t>
  </si>
  <si>
    <t>Seats Inc.</t>
  </si>
  <si>
    <t>[Seats] Seats Inc. Evaluation</t>
  </si>
  <si>
    <t>Conduct an evaluation of Seats, Inc. Oracle APEX environment_x000D_
- Provide a report detailing summary of findings &amp; recommendations</t>
  </si>
  <si>
    <t>[MS] Sherwin Managed Services</t>
  </si>
  <si>
    <t>Allowing time to be billed will change date once PO is received_x000D_
_x000D_
BILLED UNDER VISCOSITY TECHNOLOGY, INC.</t>
  </si>
  <si>
    <t>[BcS] Barcode Shipping</t>
  </si>
  <si>
    <t>Consultant and Client will jointly redesign and rewrite the Barcode Shipping applications written in PowerBuilder. The specific details of this engagement are defined below and in Attachment A.</t>
  </si>
  <si>
    <t>Got to Sales 2.0/Contracts/Sherwin/Barcode:_x000D_
APEX Architect- 51K_x000D_
Developers-$307,500_x000D_
PM-$30K_x000D_
Contingency-$46,620</t>
  </si>
  <si>
    <t>[HRZN] APEX Application Rewrite for Horizon and Authentication</t>
  </si>
  <si>
    <t>The scope of Phase 1 is the rewrite of the Horizon Application in APEX, and a solution to support software management.</t>
  </si>
  <si>
    <t>Contingency amount...$27600--_x000D_
_x000D_
Agreement to fully bill as of July 27, 2021_x000D_
_x000D_
NEW PO: USP00199950 as of Sept 2021</t>
  </si>
  <si>
    <t>Showing Time</t>
  </si>
  <si>
    <t>[] Assessment</t>
  </si>
  <si>
    <t>Sinclair</t>
  </si>
  <si>
    <t>[BAK] Support Work</t>
  </si>
  <si>
    <t>Set up Oracle Database Cloud Backup Services for current environment.  Determine best backup architecture for compliance, as well as RMAN setup and implementation. Viscosity will provide documentation</t>
  </si>
  <si>
    <t>[QTR] DB Quarterly Maintenance</t>
  </si>
  <si>
    <t>Provide remote patching support services and hourly support services as needed.</t>
  </si>
  <si>
    <t>to be billed quarterly</t>
  </si>
  <si>
    <t>[] Password Reset</t>
  </si>
  <si>
    <t>[Patchi] Patching 2020</t>
  </si>
  <si>
    <t>[] Patching 2022</t>
  </si>
  <si>
    <t>Softlayer</t>
  </si>
  <si>
    <t>[] RAC DB, Grid, GGand OS Assessment</t>
  </si>
  <si>
    <t>[RAC] Database and RAC Assessment</t>
  </si>
  <si>
    <t>Sooner Pipe</t>
  </si>
  <si>
    <t>[POC] POC</t>
  </si>
  <si>
    <t>POC</t>
  </si>
  <si>
    <t>[ASSET] Mobile &amp; Web Applications - Asset Management</t>
  </si>
  <si>
    <t>Maintain customer assets new line of business, full scope to be agreed to by Client and Consultant</t>
  </si>
  <si>
    <t>Customer Portal, Customer Initiated Requests, Workorders, Maintenance Triggers, Prevent Maint, Periodic Inspect., Checklists, Auto Workflows- Expect this phase to be UNDER budget @$131K</t>
  </si>
  <si>
    <t>[MOBILE] Mobile &amp; Web Applications - OPS</t>
  </si>
  <si>
    <t>Includes: Operations App, Asset Management App, Customer Portal App_x000D_
_x000D_
Total- 3625 + 20% contingency (725 hours)  (SEE NOTES FOR UPDATE)</t>
  </si>
  <si>
    <t>REDUCED RATES EFFECTIVE MAY 1 TO $99 -effective May 1; changed budget hours from original 2200 to new estimate 3859; expect overage on this phase._x000D_
_x000D_
Updated to reflect ONLY OPS budget</t>
  </si>
  <si>
    <t>[PORTAL] Mobile &amp; Web Applications - Portal</t>
  </si>
  <si>
    <t>Customer facing web and mobile application allow customer lookups and tallies.</t>
  </si>
  <si>
    <t>Infrastructure, Database Design/Arch, Universe of Pipe, CF Inquiry App, Foundation for other Apps + Customer Tally- Expect this to go under.</t>
  </si>
  <si>
    <t>[SP-MS] Sooner Pipe - Managed Services</t>
  </si>
  <si>
    <t>50 Hours Per Quarter</t>
  </si>
  <si>
    <t>Started April 22- Ends July 22._x000D_
Quarterly billing in ADVANCE. _x000D_
This is included in the original SOW (attached) See Page 8 &amp; 9 for details- under Managed Services</t>
  </si>
  <si>
    <t>Storm Petrel</t>
  </si>
  <si>
    <t>[DBA] Database Administration</t>
  </si>
  <si>
    <t>[APEX] APEX Managed Services</t>
  </si>
  <si>
    <t>Monthly APEX consulting</t>
  </si>
  <si>
    <t>[DBASMT] DB Assessment</t>
  </si>
  <si>
    <t>Assessed DB and APEX for recommendations for best practices.</t>
  </si>
  <si>
    <t>Surdell and Partners</t>
  </si>
  <si>
    <t>[] Oracle and APEX Support</t>
  </si>
  <si>
    <t>Consultant will provide a block of 10 hours per month (“Monthly Support”) to the Client for a cost of $1,800.00 per month_x000D_
less any discount selected</t>
  </si>
  <si>
    <t>TargetBase</t>
  </si>
  <si>
    <t>[MS] Exadata Patching</t>
  </si>
  <si>
    <t>Technologent</t>
  </si>
  <si>
    <t>[LENNOX] Lennox</t>
  </si>
  <si>
    <t>[NTTA] NTTA Oracle License Review</t>
  </si>
  <si>
    <t>[TRAC] Tracfone</t>
  </si>
  <si>
    <t>Texas A&amp;M University</t>
  </si>
  <si>
    <t>[ODA] ODA Installation &amp; Data Guard Setup</t>
  </si>
  <si>
    <t>ODA X7-2M</t>
  </si>
  <si>
    <t>[CNGR] Concierge Rewards System</t>
  </si>
  <si>
    <t>[TE] Transformation  Enhancements</t>
  </si>
  <si>
    <t>[TDB] Texas de Brazil</t>
  </si>
  <si>
    <t>[] SQL Data Archiving</t>
  </si>
  <si>
    <t>[] ODA &amp; 19c Upgrade</t>
  </si>
  <si>
    <t>[Hardwa] HA Always SQL Server</t>
  </si>
  <si>
    <t>[] Oracle Patching</t>
  </si>
  <si>
    <t>[SQL-VM] SQL-VM Migration</t>
  </si>
  <si>
    <t>Viscosity will provide implementation services to migrate/set up instance and databases from the SQL-VM server_x000D_
(CordovaSQLProd2) and TYXSQL3 to the new HA/AlwaysOn hardware</t>
  </si>
  <si>
    <t>[DBSupp] Database Support Services</t>
  </si>
  <si>
    <t>VNA will provide support services as an extension of Transnetyx team for their Oracle environment</t>
  </si>
  <si>
    <t>Viscosity proposes remote support of Medical Center's Oracle environments. Monthly project hours are 20 hours per month at a rate of $150 per hour.  Value-Add Services are not included in this quote.</t>
  </si>
  <si>
    <t>20 hours per month, fixed, 12 month term.</t>
  </si>
  <si>
    <t>[] License Assessment</t>
  </si>
  <si>
    <t>[Patch] ODA Patching</t>
  </si>
  <si>
    <t>[Suppor] USRC Support</t>
  </si>
  <si>
    <t>Uber Technologies</t>
  </si>
  <si>
    <t>[APEXAP] APEX/eBS Consulting-(Nathan 346599-2)</t>
  </si>
  <si>
    <t>[] APEX/eBS Consulting -(Jason 343290)</t>
  </si>
  <si>
    <t>United Physicians</t>
  </si>
  <si>
    <t>[UPODA] UP ODA Implementation</t>
  </si>
  <si>
    <t>Sr RAC Consultant DBA $ 170 per hour</t>
  </si>
  <si>
    <t>[ODA] ODA Installation</t>
  </si>
  <si>
    <t>Viscosity will perform consulting services to configure the Oracle Database Appliance (ODA X7- 2) and collaborate with UP Database Administration team to setup the Oracle ecosystem.</t>
  </si>
  <si>
    <t>11 days at 170 per hour, not to exceed</t>
  </si>
  <si>
    <t>[ODA] ODA Implementation, Migration and Upgrade</t>
  </si>
  <si>
    <t>Viscosity will provide professional services to provide consultative services on the new ODA X8-2_x000D_
implementation, upgrades to Oracle Database 19c and implementation of Active Directory integration</t>
  </si>
  <si>
    <t>VERTEX DATA UTILITY SERVICES LLC.</t>
  </si>
  <si>
    <t>[AppMig] Application Migration POC</t>
  </si>
  <si>
    <t>Should not exceed $ 31,500</t>
  </si>
  <si>
    <t>Viscosity - Internal</t>
  </si>
  <si>
    <t>[VNAPL] Pipeline App</t>
  </si>
  <si>
    <t>Specific to the design, development or maintenance of the Pipeline application</t>
  </si>
  <si>
    <t>[VGT] Viscosity GT</t>
  </si>
  <si>
    <t>Related activities to Viscosity Guatemala</t>
  </si>
  <si>
    <t>[LOMONI] Logic Monitor</t>
  </si>
  <si>
    <t>Proof Of Concept</t>
  </si>
  <si>
    <t>[VNAOP] OraPub</t>
  </si>
  <si>
    <t>OraPub internal work</t>
  </si>
  <si>
    <t>[VNACM] Campaign Manager</t>
  </si>
  <si>
    <t>Specific to design, development or maintenance of Campaign Manager application built with .NET</t>
  </si>
  <si>
    <t>[VNAEXC] Executive Support</t>
  </si>
  <si>
    <t>Executive support to VNA Leadership</t>
  </si>
  <si>
    <t>Internal support for VNA Executives</t>
  </si>
  <si>
    <t>[RECRU] Recruiting</t>
  </si>
  <si>
    <t>Interviews and recruiting related tasks.</t>
  </si>
  <si>
    <t>[VNAIWA] Workflows Approval</t>
  </si>
  <si>
    <t>Workflows approval related tasks</t>
  </si>
  <si>
    <t>[VNAQB] Quickbooks App</t>
  </si>
  <si>
    <t>Specific to the design, development or maintenance of the Quickbooks application</t>
  </si>
  <si>
    <t>[VNAPW] ProjectsWorkbench</t>
  </si>
  <si>
    <t>Specific to the design, development or maintenance of the ProjectsWorkbench application</t>
  </si>
  <si>
    <t>[VNAMCL] Miscellaneous</t>
  </si>
  <si>
    <t>Specific to varied tasks related to the organization</t>
  </si>
  <si>
    <t>[SALES] Sales</t>
  </si>
  <si>
    <t>Specific to activity in the support of selling services or reselling products on behalf of Viscosity.</t>
  </si>
  <si>
    <t>[WEB] Webinars</t>
  </si>
  <si>
    <t>Specific to to work preparing content, building presentations, follow up, etc. for Webinars promoting Viscosity practices.</t>
  </si>
  <si>
    <t>[MKTG] Marketing</t>
  </si>
  <si>
    <t>Specific to activity spent toward the marketing of Viscosity. [CLOSED]</t>
  </si>
  <si>
    <t>[MTG] Company Internal Meetings</t>
  </si>
  <si>
    <t>Non client meetings, specific to internal "team" related meetings,  that are non billable.  Scrum meetings denoted in this category are "cross client" discussions, internal team.</t>
  </si>
  <si>
    <t>[TECH] Tech Support</t>
  </si>
  <si>
    <t>New resource on boarding, software and/or hardware procurement, research on tech solutions.</t>
  </si>
  <si>
    <t>[PSALES] Pre-Sales Engineering</t>
  </si>
  <si>
    <t>Work supported sales effort, including but not limited to Development, Sales Calls, Internal Design/Workshops in support of a potential client deal.</t>
  </si>
  <si>
    <t>[CONF] Conferences</t>
  </si>
  <si>
    <t>Specific to to preparation for, presenting at, managing or attending vendor/user conferences.</t>
  </si>
  <si>
    <t>[TRAIN] Training</t>
  </si>
  <si>
    <t>Preparation or conducting of training on behalf of Viscosity, or attending for personal or professional development.</t>
  </si>
  <si>
    <t>[PRDEV] Product Development</t>
  </si>
  <si>
    <t>Specific to work effort to help create non-client funded products.</t>
  </si>
  <si>
    <t>[SCRUM] ScrumTime App</t>
  </si>
  <si>
    <t>Specific to the design, development or maintenance of the Scrum Time application</t>
  </si>
  <si>
    <t>[VNAPTO] PTO App</t>
  </si>
  <si>
    <t>Specific to the design, development or maintenance of the TimeOff application</t>
  </si>
  <si>
    <t>Viscosity FTE Non-Revenue</t>
  </si>
  <si>
    <t>[PTO] Paid Time Off- Placeholder</t>
  </si>
  <si>
    <t>[INT] Internal</t>
  </si>
  <si>
    <t>Internal work for Viscosity fulltimers: Sales, Marketing, Presentations, Training, Personal Development.</t>
  </si>
  <si>
    <t>[COMP] Compliance Management</t>
  </si>
  <si>
    <t>Activities supporting incoming Compliance Requests for clients that are  NON BILLABLE</t>
  </si>
  <si>
    <t>All work putting together internal Standards &amp; Practices for Viscosity.  Includes responses to Client's audit requests for same.</t>
  </si>
  <si>
    <t>[Sec] Security Management</t>
  </si>
  <si>
    <t>Bucket for all work supporting Security initiatives for internal purposes_x000D_
NON REVENUE</t>
  </si>
  <si>
    <t>INTERNAL SECURITY ACTIVITIES/TO IMPLEMENT SECURITY WITHIN VNA</t>
  </si>
  <si>
    <t>Viscosity Marketing</t>
  </si>
  <si>
    <t>[VNAGM] General</t>
  </si>
  <si>
    <t>This project will track all Online Marketing related Tasks</t>
  </si>
  <si>
    <t>[VNAS] Sales</t>
  </si>
  <si>
    <t>Track hours related to Sales</t>
  </si>
  <si>
    <t>[VNAVTD] Viscosity Tech Days (Guatemala)</t>
  </si>
  <si>
    <t>This project is to track Viscosity Tech Days in Guatemala related tasks [CLOSED]</t>
  </si>
  <si>
    <t>Viscosity North America</t>
  </si>
  <si>
    <t>[] Timeoff Management [DO NOT USE]</t>
  </si>
  <si>
    <t>[PJM] Project Mgt</t>
  </si>
  <si>
    <t>Assist with Project Management and PM app.</t>
  </si>
  <si>
    <t>[AMP] APEX Management Platform (AMP)</t>
  </si>
  <si>
    <t>[PRES] Presentations</t>
  </si>
  <si>
    <t>Assisting with building out Viscosity Presentation Content (Client or Marketing)</t>
  </si>
  <si>
    <t>[VISLAB] Viscosity Lab</t>
  </si>
  <si>
    <t>Test in the Viscosity Lab (Internal or Customer Related projects)</t>
  </si>
  <si>
    <t>[INTERN] Internal</t>
  </si>
  <si>
    <t>[PTO] PTO Tracking</t>
  </si>
  <si>
    <t>[VNALMS] LMS</t>
  </si>
  <si>
    <t>[VNALD] Viscosity Lab - DEV</t>
  </si>
  <si>
    <t>R&amp;D, building of meta-tooling, building of reusable/generic components.</t>
  </si>
  <si>
    <t>Yearly</t>
  </si>
  <si>
    <t>[ADASH] APEX Demo Dashboard</t>
  </si>
  <si>
    <t>[JDCryp] Java DBMS_CRYPTO</t>
  </si>
  <si>
    <t>Sumner Tech Project</t>
  </si>
  <si>
    <t>[Int] DO NOT USE (Viscosity Internal Work)</t>
  </si>
  <si>
    <t>REQUEST NEW PROJECT NAME, DO NOT USE THIS.</t>
  </si>
  <si>
    <t>[DBA] DBA Reports</t>
  </si>
  <si>
    <t>[PM] Provisioning Manager</t>
  </si>
  <si>
    <t>[AWSDW] ADWC/AWS Redshift Benchmark</t>
  </si>
  <si>
    <t>[ST] Scrumtime [DO NOT USE]</t>
  </si>
  <si>
    <t>Scrumtime App</t>
  </si>
  <si>
    <t>[PL] Pipeline [DO NOT USE]</t>
  </si>
  <si>
    <t>Viscosity Pipeline App</t>
  </si>
  <si>
    <t>[MKT] Marketing</t>
  </si>
  <si>
    <t>Work on Viscosity Website, Graphic Design, Printed resources and marketing resources (presentations, templates, videos, etc), and other tasks for broad business development.</t>
  </si>
  <si>
    <t>[POC] Proof of Concept</t>
  </si>
  <si>
    <t>POC Work - Tasks must equal client name or demo name</t>
  </si>
  <si>
    <t>[SAAS] SAAS Opportunities</t>
  </si>
  <si>
    <t>(Non-Revenue) Working or training on SAAS Opportunities.</t>
  </si>
  <si>
    <t>[PartTi] Part Time Hours</t>
  </si>
  <si>
    <t>Part Time Employee Hour Tracking</t>
  </si>
  <si>
    <t>[TRAIN] Internal Training</t>
  </si>
  <si>
    <t>Internal training; reviewing training classes, slides, books and other associated training materials.</t>
  </si>
  <si>
    <t>[OUCLOU] OU Cloud Training Curriculum</t>
  </si>
  <si>
    <t>[] AWS Migration into OCI/VNA Lab</t>
  </si>
  <si>
    <t>[] Projects Workbench [DO NOT USE]</t>
  </si>
  <si>
    <t>[VNASEC] Security</t>
  </si>
  <si>
    <t>Security and compliance</t>
  </si>
  <si>
    <t>Viscosity.ai</t>
  </si>
  <si>
    <t>[ICR] Intelligent Character Recognition</t>
  </si>
  <si>
    <t>ICR related tasks</t>
  </si>
  <si>
    <t>[AP] Accounts Payable</t>
  </si>
  <si>
    <t>AP related tasks</t>
  </si>
  <si>
    <t>[MVP] MVP</t>
  </si>
  <si>
    <t>[INFRA] Infrastructure</t>
  </si>
  <si>
    <t>Infrastructure related tasks</t>
  </si>
  <si>
    <t>[VAIDKR] Docker</t>
  </si>
  <si>
    <t>Docker related tasks</t>
  </si>
  <si>
    <t>[VOIP] VoiP</t>
  </si>
  <si>
    <t>VoiP related tasks</t>
  </si>
  <si>
    <t>[VAIXKE] Kubernetes</t>
  </si>
  <si>
    <t>Related task to Kubernetes micro-services</t>
  </si>
  <si>
    <t>Vizient</t>
  </si>
  <si>
    <t>[] Exadata X6-2 Network Reconfig</t>
  </si>
  <si>
    <t>Payment terms are Net 45 days._x000D_
Total 96 hours @175 = $16800; Not to exceed 116 hours</t>
  </si>
  <si>
    <t>[APP] Application</t>
  </si>
  <si>
    <t>[UPG] 12c Upgrade Project</t>
  </si>
  <si>
    <t>[Health] Oracle Exadata Health Check</t>
  </si>
  <si>
    <t>Oracle Exadata X6-2 Health check</t>
  </si>
  <si>
    <t>[VIZ18] 2018</t>
  </si>
  <si>
    <t>Votec</t>
  </si>
  <si>
    <t>[] APEX Evaluation</t>
  </si>
  <si>
    <t>[] Managed Services</t>
  </si>
  <si>
    <t>[OnDem] APEX On-Demand Support</t>
  </si>
  <si>
    <t>[] Postgres</t>
  </si>
  <si>
    <t>Wellcare/Centene</t>
  </si>
  <si>
    <t>Viscosity will perform database administrative consulting services.</t>
  </si>
  <si>
    <t>[AppSup] Application/NTTData support</t>
  </si>
  <si>
    <t>Rate $170</t>
  </si>
  <si>
    <t>[] Database Patches Production support</t>
  </si>
  <si>
    <t>[AEP] QA/App Dev Support</t>
  </si>
  <si>
    <t>[] Amisys</t>
  </si>
  <si>
    <t>[] Database Upgrades Infra-build</t>
  </si>
  <si>
    <t>[] Exadata Optimization, Upgrades and Patching, Data Center Services, &amp; Technical Advisory Services</t>
  </si>
  <si>
    <t>Viscosity will work with Centene DBA team to provide Exadata consolidation and expansion support and performance optimization; as well as Data Center integration, professional training services</t>
  </si>
  <si>
    <t>[19c] Trackwise/Watson Database Migration/Upgrade of 19c</t>
  </si>
  <si>
    <t>Viscosity will support Worldwide Clinical Trials (Client) with the migration and upgrade of their_x000D_
current Trackwise and Watson database environment to Oracle Database 19c.</t>
  </si>
  <si>
    <t>[Mig&amp;Up] Database Migration/Upgrade of 12c</t>
  </si>
  <si>
    <t>Viscosity will support Worldwide Clinical Trials (WCT) with the migration and upgrade of their_x000D_
current database environment to Oracle Database 12c</t>
  </si>
  <si>
    <t>[APEX] APEX and ORDS Upgrade</t>
  </si>
  <si>
    <t>To provide architecture, upgrade and implementation of APEX and ORDs from Worldwide_x000D_
Clinical Trials (WCT) from current version to latest 19.x.</t>
  </si>
  <si>
    <t>[] APEX Upgrade/Report updates/OBIEE to AOP</t>
  </si>
  <si>
    <t>[WWCTMS] Managed Services</t>
  </si>
  <si>
    <t>Yodlee</t>
  </si>
  <si>
    <t>[] OEM</t>
  </si>
  <si>
    <t>[] RAC Automation</t>
  </si>
  <si>
    <t>Zeus</t>
  </si>
  <si>
    <t>[] Migration and Replatforming - CLOSED-DO NOT USE</t>
  </si>
  <si>
    <t>Fixed Cost</t>
  </si>
  <si>
    <t>CLOSED - DO NOT USE</t>
  </si>
  <si>
    <t>[ODA] ODA &amp; RDBMS Upgrade and Support</t>
  </si>
  <si>
    <t>Viscosity will provide guidance and support in the upgrade of Zeus EBS 12.2.5 backend database from Oracle release 12.1.0.2 to Oracle Database 19c with the latest N-1 Release Update.</t>
  </si>
  <si>
    <t>[AOPPOC] Zeus AOP POC</t>
  </si>
  <si>
    <t>inFRONT</t>
  </si>
  <si>
    <t>[SME] APEX SME</t>
  </si>
  <si>
    <t>Upon completion of this statement of work (SOW), Consultant will supply an APEX Subject Matter Expert to support its design and user experience effort.  Deliverables include wireframes, training, join</t>
  </si>
  <si>
    <t>Received Signed Changed order on 08/13 to increase budgeted hours from 50 to 100.  (inFRONT.APEX SME.Change Order.20210526 - signed CJPL)_x000D_
_x000D_
Change order is in same folder as SOW.</t>
  </si>
  <si>
    <t>Client Name</t>
  </si>
  <si>
    <t>Follett School Solutions, LLC</t>
  </si>
  <si>
    <t>Customer</t>
  </si>
  <si>
    <t>QB Phone Numbers</t>
  </si>
  <si>
    <t>QB Email</t>
  </si>
  <si>
    <t>QB Full Name</t>
  </si>
  <si>
    <t>Name</t>
  </si>
  <si>
    <t>Phone Numbers</t>
  </si>
  <si>
    <t>Billing Address</t>
  </si>
  <si>
    <t>Shipping Address</t>
  </si>
  <si>
    <t>AAR</t>
  </si>
  <si>
    <t>monica.li@viscosityna.com</t>
  </si>
  <si>
    <t>Dharmesh Patel</t>
  </si>
  <si>
    <t>1100 N Wood Dale Road
Wood Dale IL 60191
USA</t>
  </si>
  <si>
    <t>ABC Financial Services, LLC</t>
  </si>
  <si>
    <t>accountspayable@abcfinancial.com</t>
  </si>
  <si>
    <t>Lee Washington</t>
  </si>
  <si>
    <t>8320 Hwy 107
Sherwood AR 72120
USA</t>
  </si>
  <si>
    <t>501-515-5000</t>
  </si>
  <si>
    <t>prakash.rikhal@abcfitness.com</t>
  </si>
  <si>
    <t>Prakash Rikhilal</t>
  </si>
  <si>
    <t>8320 AR 107
Sherwood AR 72120</t>
  </si>
  <si>
    <t>blessy.varghese@viscosityna.com</t>
  </si>
  <si>
    <t>Kevin Hostintler</t>
  </si>
  <si>
    <t>11000 Broken Land Pkwy Ste 450
Columbia MD 21044
USA</t>
  </si>
  <si>
    <t>Phone: (314) 739-1900</t>
  </si>
  <si>
    <t>Christina Green</t>
  </si>
  <si>
    <t>314-392-5920</t>
  </si>
  <si>
    <t>940 Westport Plaza  Suite 101
Saint Louis MO</t>
  </si>
  <si>
    <t>djennings@americafirst.com</t>
  </si>
  <si>
    <t>PO Box 9199
Ogden Utah 84409</t>
  </si>
  <si>
    <t>Phone: (801) 627-0900</t>
  </si>
  <si>
    <t>tchristofferson@americafirst.com</t>
  </si>
  <si>
    <t>Thaye Shaffer</t>
  </si>
  <si>
    <t>4661 Cozy Dale Drive
Riverdale UT 84414
US</t>
  </si>
  <si>
    <t>American Family Association of Kentucky</t>
  </si>
  <si>
    <t>fsimon@afomail.net</t>
  </si>
  <si>
    <t>American Family Association</t>
  </si>
  <si>
    <t>1404 Browns Ln. Ste B
Louisville KY 40207-4655</t>
  </si>
  <si>
    <t>American Heart Association, Inc</t>
  </si>
  <si>
    <t>Michael.Stover@heart.org, todd.lecocq@heart.org, john.nguyen@heart.org</t>
  </si>
  <si>
    <t>Tom Perkins</t>
  </si>
  <si>
    <t>7272 Greenville Avenue
Dallas TX 75231-4596</t>
  </si>
  <si>
    <t>John.Nguyen@heart.org</t>
  </si>
  <si>
    <t>Roger Santone</t>
  </si>
  <si>
    <t>7272 Greenville Avenue
Dallas, TX 75231-4596</t>
  </si>
  <si>
    <t>jerry.ward@viscosityna.com</t>
  </si>
  <si>
    <t>250 Assay St, Ste 500
Houston TX 77044
USA</t>
  </si>
  <si>
    <t>Arindam Saha</t>
  </si>
  <si>
    <t>arindam.saha@ig.com</t>
  </si>
  <si>
    <t>IG Cannon Bridge House, 25 Dowgate Hill
London EC4R 2YA
UK</t>
  </si>
  <si>
    <t>625 MARSHALL ST
LITTLE ROCK AR 72201</t>
  </si>
  <si>
    <t>Arthur Rutenberg Homes, Inc.</t>
  </si>
  <si>
    <t>Phone: 7275365900</t>
  </si>
  <si>
    <t>13922 58th St N
Clearwater FL 33760
United States</t>
  </si>
  <si>
    <t>Asarco,LLC</t>
  </si>
  <si>
    <t>5285 E. Williams Circle Suite 2000
Tucson AZ 85711</t>
  </si>
  <si>
    <t>AST LLC</t>
  </si>
  <si>
    <t>Fax: (630) 778-1179</t>
  </si>
  <si>
    <t>mlazo@viscosityna.com</t>
  </si>
  <si>
    <t>1755 Park Street Suite, 100 
Naperville, IL 60563</t>
  </si>
  <si>
    <t>Atmos Energy Corporation</t>
  </si>
  <si>
    <t>srinivasa.kalakoti@atmosenergy.com</t>
  </si>
  <si>
    <t>Srinivasa Kalakot</t>
  </si>
  <si>
    <t>5420 LBJ Frwy # 1600
Dallas TX 75240</t>
  </si>
  <si>
    <t>Avnet Technology Solutions</t>
  </si>
  <si>
    <t>Accounts Payable</t>
  </si>
  <si>
    <t>360 Interlocken Blvd.
Broomfield CO 80021</t>
  </si>
  <si>
    <t>Avnet, Inc. {C}</t>
  </si>
  <si>
    <t>8700 S. Price Rd.
Tempe AZ 85284</t>
  </si>
  <si>
    <t>AVT Technology Solutions LLC</t>
  </si>
  <si>
    <t>8700 S. PRICE RD
TEMPE AZ 85284</t>
  </si>
  <si>
    <t>AVT Technology Solutions LLC (TechData)</t>
  </si>
  <si>
    <t>Rachelle.Goldhammer@techdata.com,Jen.Hamada@techdata.com</t>
  </si>
  <si>
    <t>8700 S. PRICE RD.
TEMPE AZ 85284</t>
  </si>
  <si>
    <t>Banc of America Leasing &amp; Capital, LLC</t>
  </si>
  <si>
    <t>OFD-fso_us@oracle.com</t>
  </si>
  <si>
    <t>600 Peachtree St., NE
Atlanta GA 30308</t>
  </si>
  <si>
    <t>BDO USA, LLP</t>
  </si>
  <si>
    <t>Phone: (713) 407-3265</t>
  </si>
  <si>
    <t>mliddell@bdo.com</t>
  </si>
  <si>
    <t>Attention:  Maurice Liddell 
2929 Allen Parkway, 20th Floor
 Houston, TX 77019</t>
  </si>
  <si>
    <t>BETFAIR ROMANIA DEVELOPMENT SRL</t>
  </si>
  <si>
    <t>Cosmin.Crisan@ppb.com</t>
  </si>
  <si>
    <t>Cluj Napoca, 21 Decembrie 1989 Street, nr 77, Entrance A-F, 4th floor, 400604, Cluj</t>
  </si>
  <si>
    <t>Phone: (651) 292-9379
Mobile: (612) 226-7099</t>
  </si>
  <si>
    <t>jclarkin@bezzotech.com</t>
  </si>
  <si>
    <t>Jason Clarkin</t>
  </si>
  <si>
    <t>1847 Deep Pond Circle
Eagan MN 55122
USA</t>
  </si>
  <si>
    <t>BMW Manufacturing Co., LLC</t>
  </si>
  <si>
    <t>Phone: (864) 802-2479</t>
  </si>
  <si>
    <t>destiny.chatman@bmwmc.com</t>
  </si>
  <si>
    <t>1400 Highway 101 South
Greer SC 29651
USA</t>
  </si>
  <si>
    <t>Boston College</t>
  </si>
  <si>
    <t>Phone: 6175524521</t>
  </si>
  <si>
    <t>Jason.Yong@bc.edu ,itsadmin@bc.edu</t>
  </si>
  <si>
    <t>140 Commonwealth Ave , Main Campus Address N
Chestnut Hill MA 02467
United States</t>
  </si>
  <si>
    <t>BOT Construction</t>
  </si>
  <si>
    <t>spogany@botconstruction.ca,leisa.pitner@viscosityna.com</t>
  </si>
  <si>
    <t>1224 Speers Rd
Oakville Canada</t>
  </si>
  <si>
    <t>Cabot Oil and Gas</t>
  </si>
  <si>
    <t>ashley.cupstid@viscosityna.com</t>
  </si>
  <si>
    <t>Laura Gunn</t>
  </si>
  <si>
    <t>PO Box 4544
Houston TX 77210</t>
  </si>
  <si>
    <t>Caidan Management Company, LLC</t>
  </si>
  <si>
    <t>Phone: 3133243700</t>
  </si>
  <si>
    <t>1 Campus Martius Ste 700
Detroit MI 48226
United States</t>
  </si>
  <si>
    <t>hhearn@ctot.com</t>
  </si>
  <si>
    <t>2400 Dallas Pkwy Suite 560
Plano TX 75093</t>
  </si>
  <si>
    <t>2400 Dallas Parkway, Suite 560
Plano Texas 75093
USA</t>
  </si>
  <si>
    <t>Carter BloodCare</t>
  </si>
  <si>
    <t>RXu@carterbloodcare.org</t>
  </si>
  <si>
    <t>2205 Highway 121
BEDFORD TX 76021-5950</t>
  </si>
  <si>
    <t>Cash America</t>
  </si>
  <si>
    <t>1600 West 7th St.
Fort Worth TX 76102</t>
  </si>
  <si>
    <t>Circuit of The Americas LLC</t>
  </si>
  <si>
    <t>Phone: 5122479277</t>
  </si>
  <si>
    <t>accountspayable@thecircuit.com</t>
  </si>
  <si>
    <t>9201 Circuit of The Americas Blvd.
Del Valle TX 78617
United States</t>
  </si>
  <si>
    <t>City of New Orleans Department of Public Works</t>
  </si>
  <si>
    <t>dcerwin@nola.gov</t>
  </si>
  <si>
    <t>1300 Perdido Street
Suite 6W03
New Orleans LA 70112</t>
  </si>
  <si>
    <t>AP_INVOICES@CITYOFORLANDO.NET</t>
  </si>
  <si>
    <t>400 S Orange Ave
Orlando FL 32801</t>
  </si>
  <si>
    <t>clainvoices@claylacy.com</t>
  </si>
  <si>
    <t>7435 Valjean Avenue
Van Nuys CA 91406
USA</t>
  </si>
  <si>
    <t>mishelle.lazo@viscosityna.com</t>
  </si>
  <si>
    <t>3030 Lyndon B Johnson Fwy #600
Dallas TX 75234</t>
  </si>
  <si>
    <t>finance@coenet.org</t>
  </si>
  <si>
    <t>1025 Vermont Ave. NW #900
Washington D.C. 20005</t>
  </si>
  <si>
    <t>1025 Vermont Ave. NW #900
Washington D.C. 20005
USA</t>
  </si>
  <si>
    <t>Accounts Payable
325 Waukegan Rd 
Northfield, IL  60093-2750</t>
  </si>
  <si>
    <t>Compliance Networks</t>
  </si>
  <si>
    <t>admin@viscosityna.com</t>
  </si>
  <si>
    <t>Bruce Berger</t>
  </si>
  <si>
    <t>14090 Southwest Freeway, Suite 300
Sugar Land TX 77478</t>
  </si>
  <si>
    <t>patricia.powers@calian.com,chip.love@calian.com</t>
  </si>
  <si>
    <t>5355 W Sam Houston Pkwy N #390
Houston TX 77041</t>
  </si>
  <si>
    <t>CONCENTRA HEALTH SERVICES, INC.</t>
  </si>
  <si>
    <t>5080 Spectrum Drive, 1200 W
Addison TX 75001
USA</t>
  </si>
  <si>
    <t>ConnectYourCare LLC</t>
  </si>
  <si>
    <t>Phone: (443) 274-7567</t>
  </si>
  <si>
    <t>Alex.Gerback@connectyourcare.com</t>
  </si>
  <si>
    <t>Alex Gerback</t>
  </si>
  <si>
    <t>307 International Circle Suite 200
Cockeysville MD 21030
US</t>
  </si>
  <si>
    <t>ContinuumCloud LLC</t>
  </si>
  <si>
    <t>accountspayable@continuumcloud.com</t>
  </si>
  <si>
    <t>5005 Colley Ave.
Norfolk VA 23508
USA</t>
  </si>
  <si>
    <t>Crown Crafts INC</t>
  </si>
  <si>
    <t>Ronald Graham</t>
  </si>
  <si>
    <t>916 S Burnside Ave
GONZALES LA 70737</t>
  </si>
  <si>
    <t>Dallas Area Rapid Transit</t>
  </si>
  <si>
    <t>1401 Pacific Avenue
Dallas TEXAS 75202
USA</t>
  </si>
  <si>
    <t>Dartmouth College</t>
  </si>
  <si>
    <t>Admin Provost Fin Center</t>
  </si>
  <si>
    <t>Hanover, NH 03755
Attn: 7 Lebanon St, Ste 302</t>
  </si>
  <si>
    <t>Dartmouth College Dartmouth College
41 Centerra
41 Centerra Parkway Lebanon, NH 03766-1404 United States
Attn: 41 Centerra Lisa Thompson</t>
  </si>
  <si>
    <t>20 W. Second Ave.
Hutchinson, Kansas 67501
Phone: 620-694-6800
Fax: 620-694-1150</t>
  </si>
  <si>
    <t>Delphix</t>
  </si>
  <si>
    <t>1400A Seaport Blvd, Suite 200
Redwood City CA 94063</t>
  </si>
  <si>
    <t>Phone: (469) 444-1380</t>
  </si>
  <si>
    <t>Blessy Varghese</t>
  </si>
  <si>
    <t>1700 SATURN WAY
SEAL BEACH CA 90740-5618
United States</t>
  </si>
  <si>
    <t>DFW International Airport</t>
  </si>
  <si>
    <t>Phone: (972) 973-5600
Fax: (972) 973-5608</t>
  </si>
  <si>
    <t>mhoover@dfwairport.com</t>
  </si>
  <si>
    <t>Mark Hoover</t>
  </si>
  <si>
    <t>PO Box 619428
DFW Airport TX 75261-9428
US</t>
  </si>
  <si>
    <t>3122 East 30th Street
DFW Airport TX 75261
US</t>
  </si>
  <si>
    <t>DISD</t>
  </si>
  <si>
    <t>9400 North Central Expressway, Suite 550
Dallas, TX, 75231</t>
  </si>
  <si>
    <t>Dominion Energy Questar Corporation</t>
  </si>
  <si>
    <t>Phone: 8013245900</t>
  </si>
  <si>
    <t>333 S State St
Salt Lake City UT 841112302
USA</t>
  </si>
  <si>
    <t>Driggs Title Agency, Inc.</t>
  </si>
  <si>
    <t>Adam Driggs</t>
  </si>
  <si>
    <t>8787 E Pinnacle Peak Rd
#140
Scottsdale AZ 85255</t>
  </si>
  <si>
    <t>DTCC</t>
  </si>
  <si>
    <t>2nd floor_x000D_
18301 Bermuda Green Drive
Tampa FL 33647</t>
  </si>
  <si>
    <t>Edward Rodriguez-1</t>
  </si>
  <si>
    <t>Edward Rodriguez</t>
  </si>
  <si>
    <t>312 N. Dijon Court
Tucson AZ 85748</t>
  </si>
  <si>
    <t>Enseo, LLC.</t>
  </si>
  <si>
    <t>2201 10TH ST
PLANO TX 75074-8019</t>
  </si>
  <si>
    <t>Environmental Protection Agency (EPA)</t>
  </si>
  <si>
    <t>alaw.sam@epa.gov</t>
  </si>
  <si>
    <t>Larry Koss</t>
  </si>
  <si>
    <t>Epsilon</t>
  </si>
  <si>
    <t>Jeff White</t>
  </si>
  <si>
    <t>4401 Regent Blvd_x000D_
Irving, TX 75063</t>
  </si>
  <si>
    <t>EVO Payments, Inc.</t>
  </si>
  <si>
    <t>Phone: 8002273794</t>
  </si>
  <si>
    <t>515 Broadhollow Rd
Melville NY 11747
United States</t>
  </si>
  <si>
    <t>Excellus Health Plan, Inc.</t>
  </si>
  <si>
    <t>Accounts.Payable@Excellus.com</t>
  </si>
  <si>
    <t>Attn: Accounts Payable 
3111 Winton Rd. Rochester, NY 14623</t>
  </si>
  <si>
    <t>Experian</t>
  </si>
  <si>
    <t>P.O. Box 2180
Allen, TX 75013
Accounts Payable 
ATTN: Fey Saephan</t>
  </si>
  <si>
    <t>Federal Bureau of Investigation</t>
  </si>
  <si>
    <t>Phone: 2023243127</t>
  </si>
  <si>
    <t>central_invoices@fbi.gov</t>
  </si>
  <si>
    <t>Federal Bureau of Investigation
ITAU- Information Technology Acquisition Unit
935 Pennsylvania Avenue, NW
Washington DC 20535- 0001
United States</t>
  </si>
  <si>
    <t>Fidelity National Title Group</t>
  </si>
  <si>
    <t>Phone: (904) 854-8808</t>
  </si>
  <si>
    <t>Fnffixedassets@fnf.com</t>
  </si>
  <si>
    <t>Melissa Mannion</t>
  </si>
  <si>
    <t>601 Riverside Ave
Bldg V-6th Floor
Jacksonville FL 32204</t>
  </si>
  <si>
    <t>FIS Global</t>
  </si>
  <si>
    <t>Attn:Corporate Accounts Payable
P.O. Box 40949
Jacksonville, FL 32203-0949
United States</t>
  </si>
  <si>
    <t>FIS Global:FIS-Fraud</t>
  </si>
  <si>
    <t>2401 South Memorial Drive
Appleton, WI 54915</t>
  </si>
  <si>
    <t>Florida International University</t>
  </si>
  <si>
    <t>marilynd@floridarealtors.org</t>
  </si>
  <si>
    <t>PO Box 725025
Orlando Florida 32872-5025
USA</t>
  </si>
  <si>
    <t>601 Riverside Ave, Bldg 5
Jacksonville FL 32204
USA</t>
  </si>
  <si>
    <t>FOEX</t>
  </si>
  <si>
    <t>Aspettenstrasse 48
AT - 2380 Perchtoldsdorf</t>
  </si>
  <si>
    <t>Follett School Solutions</t>
  </si>
  <si>
    <t>rrothlisberger@follett.com,ar@viscosityna.com,sophie.aaron@viscosityna.com</t>
  </si>
  <si>
    <t>1340 Ridgeview Dr
McHenry IL 60050</t>
  </si>
  <si>
    <t>ap@formfactor.com</t>
  </si>
  <si>
    <t>7005 Southfront Road
Livermore CA 94551
USA</t>
  </si>
  <si>
    <t>Fortified Data Services, LLC</t>
  </si>
  <si>
    <t>PO Box 1051 
Fort Mill, SC 29716</t>
  </si>
  <si>
    <t>Fringe Benefits Group</t>
  </si>
  <si>
    <t>Attn: Accounts Payable 
11910 Anderson Mill Rd
Austin, TX 78726</t>
  </si>
  <si>
    <t>General Dynamics Information Technology, Inc.</t>
  </si>
  <si>
    <t>acctspay-invoice@gdit.com</t>
  </si>
  <si>
    <t>101 Station Drive
Westwood MA 02090</t>
  </si>
  <si>
    <t>Geometric  Results</t>
  </si>
  <si>
    <t>Attn: Kimberly Castleberry
145 Industrial Blvd , Suite 119 
Sugar Land, TX  77478</t>
  </si>
  <si>
    <t>Gradkell Systems Inc</t>
  </si>
  <si>
    <t>Phone: 8664723535</t>
  </si>
  <si>
    <t>4910 University Sq Ste 5
Huntsville AL 35816
United States</t>
  </si>
  <si>
    <t>itinvoice@grcc.edu</t>
  </si>
  <si>
    <t>143 Bostwick NE,
Grand Rapids MI 49503</t>
  </si>
  <si>
    <t>Groupware Technology</t>
  </si>
  <si>
    <t>Accounts Payable
511 Division Street
Campbell, CA 95008</t>
  </si>
  <si>
    <t>HACC, Central Pennsylvania's Community College</t>
  </si>
  <si>
    <t>ccgavazz@hacc.edu</t>
  </si>
  <si>
    <t>One HACC Drive
Harrisburg PA 17110
USA</t>
  </si>
  <si>
    <t>HHSC</t>
  </si>
  <si>
    <t>Brown-Heatly Building 
4900 N. Lamar Blvd. 
Austin, TX 78751-2316</t>
  </si>
  <si>
    <t>HRL Laboratories, LLC</t>
  </si>
  <si>
    <t>3011 Malibu Canyon Road
Malibu CA 90265-4797
United States</t>
  </si>
  <si>
    <t>HSYS</t>
  </si>
  <si>
    <t>Jerry Ward</t>
  </si>
  <si>
    <t>405 Main Street, Suite 602
Houston TX 77002</t>
  </si>
  <si>
    <t>ap@identrust.com</t>
  </si>
  <si>
    <t>6623 Dumbarton Circle
Fremont CA 94555</t>
  </si>
  <si>
    <t>IdenTrust, Inc.</t>
  </si>
  <si>
    <t>AP@IdenTrust.com</t>
  </si>
  <si>
    <t>6623 Dumbarton Circle,
Fremont CA 94555
USA</t>
  </si>
  <si>
    <t>ikaSystems</t>
  </si>
  <si>
    <t>132 Turnpike Road
Southborough, MA 01772</t>
  </si>
  <si>
    <t>accountspayablehq@incomm.com, gdiagne@incomm.com</t>
  </si>
  <si>
    <t>250 Williams St NW Ste M100
ATLANTA GA 30303</t>
  </si>
  <si>
    <t>chris.laibe@infrontusa.com,leisa.pitner@viscosityna.com</t>
  </si>
  <si>
    <t>187 Dalwill Dr.,
Mandeville, LA 70471
USA</t>
  </si>
  <si>
    <t>Inguran dba ST genetics</t>
  </si>
  <si>
    <t>accountspayable@stgen.com</t>
  </si>
  <si>
    <t>STGenetics Accounts Payable</t>
  </si>
  <si>
    <t>22575 State Highway 6 South,
Navasota TX 77868</t>
  </si>
  <si>
    <t>ap@nabancard.com</t>
  </si>
  <si>
    <t>North American Bancard
250 Stephenson Hwy
Troy MI 48083</t>
  </si>
  <si>
    <t>Intermetro Industries Corporation</t>
  </si>
  <si>
    <t>Phone: 5708252741</t>
  </si>
  <si>
    <t>Bruce.Martin@metro.com</t>
  </si>
  <si>
    <t>651 N Washington St
Wilkes Barre PA 18705
United States</t>
  </si>
  <si>
    <t>6465 Greenwood Plaza Blvd Ste 800
Greenwood Village CO 80111-7103</t>
  </si>
  <si>
    <t>iTrade</t>
  </si>
  <si>
    <t>ap@itradenetwork.com</t>
  </si>
  <si>
    <t>1100 N Market Blvd
C/O Quality Technology Services
Sacramento CA 95834-1931</t>
  </si>
  <si>
    <t>ITS &amp; MTA INTERNATIONAL TRADING S.R.L.</t>
  </si>
  <si>
    <t>VIA LUIGI POMINI 9/4 
21053 CASTELLANZA (VA)
ITALY
ITALY</t>
  </si>
  <si>
    <t>Jacobs Technology</t>
  </si>
  <si>
    <t>Logistics Facility , Bldg K6-1547
Kennedy Space Center FL 32899
USA</t>
  </si>
  <si>
    <t>rharbin@kemper.com</t>
  </si>
  <si>
    <t>Russ Harbin</t>
  </si>
  <si>
    <t>ATTN: Russ Harbin</t>
  </si>
  <si>
    <t>KLR Technology, LLC</t>
  </si>
  <si>
    <t>lynn.generalli@mainline.com,Kris.Smith@mainline.com</t>
  </si>
  <si>
    <t>1700 Summit Lake Drive
Tallahassee FL 32317</t>
  </si>
  <si>
    <t>Konami Gaming, Inc.</t>
  </si>
  <si>
    <t>Phone: 7026161400</t>
  </si>
  <si>
    <t>585 Konami Cir
Las Vegas NV 891193754
USA</t>
  </si>
  <si>
    <t>AP@korewireless.com</t>
  </si>
  <si>
    <t>Kyriba Corp.</t>
  </si>
  <si>
    <t>Phone: 8582103560</t>
  </si>
  <si>
    <t>jsampson@kyriba.com</t>
  </si>
  <si>
    <t>Kyriba</t>
  </si>
  <si>
    <t>9620 Towne Centre Drive 250
San Diego CA 92121
United States</t>
  </si>
  <si>
    <t>Leesar</t>
  </si>
  <si>
    <t>Attn:Bryan Jones 
2727 Winkler Ave
Fort Myers, FL 33901</t>
  </si>
  <si>
    <t>LGS Innovations Inc.</t>
  </si>
  <si>
    <t>Phone: 9732619324</t>
  </si>
  <si>
    <t>600 Mountain Ave
New Providence NJ 07974
United States</t>
  </si>
  <si>
    <t>LifeBridge Health</t>
  </si>
  <si>
    <t>Heather Makowski</t>
  </si>
  <si>
    <t>Information Services
2401 West Belvedere Ave.
Baltimore, MD 21215</t>
  </si>
  <si>
    <t>Logicalis Inc</t>
  </si>
  <si>
    <t>2600 Telegraph Rd
Suite 200
Bloomfield Hills, 48302-0969
USA</t>
  </si>
  <si>
    <t>Maxforce America,Inc</t>
  </si>
  <si>
    <t>B2 Ventures, Inc.
2935 Nacogdoches Rd # 106
San Antonio TX 78217</t>
  </si>
  <si>
    <t>McAfee</t>
  </si>
  <si>
    <t>McAfee, Inc.</t>
  </si>
  <si>
    <t>MS 2SAP_x000D_
5000 Headquarters Drive
Plano TX 75024</t>
  </si>
  <si>
    <t>Phone: (305) 740-8440</t>
  </si>
  <si>
    <t>2100 Q St,
Sacramento CA 95816-6816</t>
  </si>
  <si>
    <t>Medixsoft, Inc.</t>
  </si>
  <si>
    <t>2800 Village Pkwy, Suite# 700
Highland Village, Texas 75077</t>
  </si>
  <si>
    <t>Russ.Hulme@meritenergy.com,Steven.Brown@meritenergy.com</t>
  </si>
  <si>
    <t>13727 Noel Rd #1200
Dallas, Tx 75240</t>
  </si>
  <si>
    <t>Merit Medical Systems, Inc</t>
  </si>
  <si>
    <t>Phone: (801) 253-1600</t>
  </si>
  <si>
    <t>david.chamberlin@merit.com</t>
  </si>
  <si>
    <t>1600 West Merit Parkway
South Jordan Utah 84095</t>
  </si>
  <si>
    <t>1600 West Merit Parkway
South Jordan Utah 84095
USA</t>
  </si>
  <si>
    <t>accounts.payable@metrotech.edu</t>
  </si>
  <si>
    <t>1900 Springlake Drive
Oklahoma City OK 73111
USA</t>
  </si>
  <si>
    <t>accountspayable@meyertool.com</t>
  </si>
  <si>
    <t>3055 Colerain Ave.
Cincinnati OH 45225</t>
  </si>
  <si>
    <t>accounts.payable@microchip.com</t>
  </si>
  <si>
    <t>2355 West Chandler Blvd.
Chandler AZ 85224</t>
  </si>
  <si>
    <t>Montgomery Coscia Greilich LLP-1</t>
  </si>
  <si>
    <t>2500 Dallas Parkway, Suite 300
Plano Texas 75093</t>
  </si>
  <si>
    <t>Morris-Shea Bridge Company</t>
  </si>
  <si>
    <t>accountspayable@morrisshea.com,akimmich@morrisshea.com</t>
  </si>
  <si>
    <t>609 South 20th Street
Irondale Alabama 35210
USA</t>
  </si>
  <si>
    <t>Mortgage Connect</t>
  </si>
  <si>
    <t>600 Clubhouse Drive
Moon Township PA 15108
USA</t>
  </si>
  <si>
    <t>Mukwonago Robotics Activities</t>
  </si>
  <si>
    <t>930 605 W. Veterans Way
Mukwonago WI 53149
USA</t>
  </si>
  <si>
    <t>accounting@mango.org</t>
  </si>
  <si>
    <t>3101 Maguire Blvd. Suite 111
Orlando FL 32803</t>
  </si>
  <si>
    <t>accounting@mango.org,rojeda@mango.org,mmichel@mango.org,lsaldarriaga@mango.org</t>
  </si>
  <si>
    <t>3101 Maguire Blvd. Suite 11
Orlando Florida 32803
USA</t>
  </si>
  <si>
    <t>Neiman Marcus Group</t>
  </si>
  <si>
    <t>One Marcus Square
1618 Main Street
Dallas TX 75201
USA</t>
  </si>
  <si>
    <t>Phone: (571) 234-4942</t>
  </si>
  <si>
    <t>accting@neosystemscorp.com</t>
  </si>
  <si>
    <t>1861 International Dr Ste 200
Tysons Corner, VA 22102
USA</t>
  </si>
  <si>
    <t>NOAA Fisheries Northwest</t>
  </si>
  <si>
    <t>Phone: (206) 860-3252</t>
  </si>
  <si>
    <t>Brenden Sylvander</t>
  </si>
  <si>
    <t>2725 Montlake Boulevard East
Seattle WA 98112
USA</t>
  </si>
  <si>
    <t>Novara Solutions Inc.</t>
  </si>
  <si>
    <t>PO BOX 867566_x000D_
Plano, Texas 75086_x000D_
Project: CLUBCORP</t>
  </si>
  <si>
    <t>NTirety</t>
  </si>
  <si>
    <t>900 S Broadway, Suite 400
Denver CO 80209
USA</t>
  </si>
  <si>
    <t>Nutrabolt</t>
  </si>
  <si>
    <t>ATTN: Accounts Payable
3891 S. Traditions Drive
Bryan, TX 77807</t>
  </si>
  <si>
    <t>Oak Ridge National Laboratory,</t>
  </si>
  <si>
    <t>1 Bethel Valley Road
Oak Ridge TN</t>
  </si>
  <si>
    <t>Ocwen Financial Corporation</t>
  </si>
  <si>
    <t>Phone: 5616828400</t>
  </si>
  <si>
    <t>ap@ocwen.com</t>
  </si>
  <si>
    <t>1661 Worthington Rd # 100
West Palm Beach FL 33409
United States</t>
  </si>
  <si>
    <t>633 Seventeenth St, Suite 2600
Denver CO 80202</t>
  </si>
  <si>
    <t>Omni Hotels</t>
  </si>
  <si>
    <t>Phone: 972-871-5516</t>
  </si>
  <si>
    <t>cckim@me.com</t>
  </si>
  <si>
    <t>Nancy Iles</t>
  </si>
  <si>
    <t>420 Decker Street
Irving Tx 75062</t>
  </si>
  <si>
    <t>Online Training Courses</t>
  </si>
  <si>
    <t>Online Training Courses:Clayton Varner</t>
  </si>
  <si>
    <t>clayton.varner@edwardjones.com</t>
  </si>
  <si>
    <t>Clayton Varner</t>
  </si>
  <si>
    <t>Online Training Courses:Don Huffman</t>
  </si>
  <si>
    <t>donald.huffman@region10.org</t>
  </si>
  <si>
    <t>Don Huffman</t>
  </si>
  <si>
    <t>Online Training Courses:John Palmer</t>
  </si>
  <si>
    <t>john.j.palmer@wellsfargo.com</t>
  </si>
  <si>
    <t>John Palmer</t>
  </si>
  <si>
    <t>Online Training Courses:Kimberly Lawhorn</t>
  </si>
  <si>
    <t>ashaasha948@yahoo.com</t>
  </si>
  <si>
    <t>Kimberly Lawhorn</t>
  </si>
  <si>
    <t>Online Training Courses:Marhy Gable</t>
  </si>
  <si>
    <t>mgable@tcc.edu</t>
  </si>
  <si>
    <t>Marhy Gable</t>
  </si>
  <si>
    <t>121 College Pl
Norfolk VA 23510</t>
  </si>
  <si>
    <t>Online Training Courses:Mylinh Nguyen</t>
  </si>
  <si>
    <t>mylancamtu@yahoo.com</t>
  </si>
  <si>
    <t>Mylinh Nguyen</t>
  </si>
  <si>
    <t>Online Training Courses:Test Client</t>
  </si>
  <si>
    <t>Online Training Courses:Tony Esposito</t>
  </si>
  <si>
    <t>tony.esposito@region10.org</t>
  </si>
  <si>
    <t>Tony Esposito</t>
  </si>
  <si>
    <t>Open Systems Technologies</t>
  </si>
  <si>
    <t>CLIENT NAME: PHH
462 Seventh Avenue, 15th Floor
New York, NY  10018</t>
  </si>
  <si>
    <t>Oracle America, Inc.</t>
  </si>
  <si>
    <t>1001 Sunset Blvd.
Rocklin CA 95765</t>
  </si>
  <si>
    <t>Orcom</t>
  </si>
  <si>
    <t>501 W PRESIDENT GEORGE BUSH HWY
Richardson TX 75080
USA</t>
  </si>
  <si>
    <t>Paradyme Management, Inc.</t>
  </si>
  <si>
    <t>PathAI / Poplar Healthcare</t>
  </si>
  <si>
    <t>ap@poplarhealthcare.com,jim.medlock@pathai.com</t>
  </si>
  <si>
    <t>3495 Hacks Cross
Memphis TN 38125</t>
  </si>
  <si>
    <t>Paychex, Inc.</t>
  </si>
  <si>
    <t>PYXINVOICE@PAYCHEX.COM</t>
  </si>
  <si>
    <t>911 Panorama Trail South
Rochester New York 14625
USA</t>
  </si>
  <si>
    <t>Perficient</t>
  </si>
  <si>
    <t>PreferredOne</t>
  </si>
  <si>
    <t>Phone: 7638474000</t>
  </si>
  <si>
    <t>6105 Golden Hills Dr
Minneapolis MN 554161023
USA</t>
  </si>
  <si>
    <t>Premier Research International LLC</t>
  </si>
  <si>
    <t>Phone: (860) 200-6461</t>
  </si>
  <si>
    <t>accountspayableUS@premier-research.com</t>
  </si>
  <si>
    <t>Premier Research International LLC,
111 Founders Plaza, Suite 600
East Hartford CT 06108
USA</t>
  </si>
  <si>
    <t>Prestolite Electric Incorporated</t>
  </si>
  <si>
    <t>KHAMACHER@PRESTOLITE.COM</t>
  </si>
  <si>
    <t>400 MAIN ST
ARCADE NY 14009</t>
  </si>
  <si>
    <t>PTS</t>
  </si>
  <si>
    <t>Sarah Haller</t>
  </si>
  <si>
    <t>Pegasus Technology Solutions
5550 Granite Parkway, Suite 100 
Plano, Texas 75024</t>
  </si>
  <si>
    <t>Quest Software</t>
  </si>
  <si>
    <t>Phone: (949) 754-8000</t>
  </si>
  <si>
    <t>AccountsPayable@quest.com</t>
  </si>
  <si>
    <t>4 Polaris Way Aliso Viejo
CA 92656</t>
  </si>
  <si>
    <t>Quest Software Inc.</t>
  </si>
  <si>
    <t>Systems.Management.NAM.Projects@quest.com</t>
  </si>
  <si>
    <t>4 Polaris Way
Aliso Viejo, CA 92656</t>
  </si>
  <si>
    <t>Records Deposition Service Inc</t>
  </si>
  <si>
    <t>Phone: (248) 357-3330</t>
  </si>
  <si>
    <t>LVerbelun@recdep.com</t>
  </si>
  <si>
    <t>27355 W 11 Mile Rd
Southfield MI 480332231
USA</t>
  </si>
  <si>
    <t>400 E. Spring Valley Rd
Richardson TX 75081-5101
USA</t>
  </si>
  <si>
    <t>Reversl Viscosity North</t>
  </si>
  <si>
    <t>RIA Services, Inc</t>
  </si>
  <si>
    <t>16775 Addison Rd. Ste 210
Addison, TX 75001
Disbursement Code : 841028
Approver: Seema Malhotra</t>
  </si>
  <si>
    <t>Riceland Foods,Inc.</t>
  </si>
  <si>
    <t>2120 South Park Avenue,
Stuttgart, Arkansas 72160
USA</t>
  </si>
  <si>
    <t>Riverside Transit Agency</t>
  </si>
  <si>
    <t>1825 Third Street
Riverside CA 92507
USA</t>
  </si>
  <si>
    <t>Phone: (801) 957-4533</t>
  </si>
  <si>
    <t>P O BOX 30808  GC/Risk
Salt Lake City UT 84130-0808
USA</t>
  </si>
  <si>
    <t>scgtsap@scgts.com</t>
  </si>
  <si>
    <t>1500 Post Oak Blvd. Suite 1400
Houston TX 77056</t>
  </si>
  <si>
    <t>Phone: 7137391500</t>
  </si>
  <si>
    <t>accounts.payable@seaone.com</t>
  </si>
  <si>
    <t>333 Clay St Ste 4700
Houston 77002
United States</t>
  </si>
  <si>
    <t>1515 Industrial Street
Reedsburg WI 53959
USA</t>
  </si>
  <si>
    <t>Service Link</t>
  </si>
  <si>
    <t>1355 Cherrington Parkway
Moon Township PA 15108</t>
  </si>
  <si>
    <t>Service Link:29200 DB Upgrade</t>
  </si>
  <si>
    <t>Phone: (412) 776-1824</t>
  </si>
  <si>
    <t>mary.stickel@servicelinkfnf.com</t>
  </si>
  <si>
    <t>Mary Stickel</t>
  </si>
  <si>
    <t>345 Rouser Road
Coraopolis PA 15108</t>
  </si>
  <si>
    <t>Service Link:31636 - DB Encryption</t>
  </si>
  <si>
    <t>Mary.Stickel@servicelinkfnf.com</t>
  </si>
  <si>
    <t>Service Link:Operational Support / Corporate</t>
  </si>
  <si>
    <t>steve.taylor@servicelinkfnf.com</t>
  </si>
  <si>
    <t>Steve Taylor</t>
  </si>
  <si>
    <t>SGE Texas Serviceco, LLC</t>
  </si>
  <si>
    <t>1950 Stemmons Freeway_x000D_
Suite 3000
Dallas TX 75207</t>
  </si>
  <si>
    <t>PO Box 94785
Cleveland OH 44101-1027</t>
  </si>
  <si>
    <t>ShowingTime</t>
  </si>
  <si>
    <t>apinvoice@showingtime.com</t>
  </si>
  <si>
    <t>550 W. Jackson Blvd, Suite 800
Chicago IL 60661</t>
  </si>
  <si>
    <t>Sinclair Research Center, LLC</t>
  </si>
  <si>
    <t>562 State Road DD
Auxvasse Missouri 65231
USA</t>
  </si>
  <si>
    <t>Sirius Computer Solutions</t>
  </si>
  <si>
    <t>10100 Reunion Pl. Ste 500_x000D_
San Antonio, TX 78216_x000D_
OpenAir User ID: 912457</t>
  </si>
  <si>
    <t>SoftLayer</t>
  </si>
  <si>
    <t>4849 Alpha Road
Dallas TX 75244</t>
  </si>
  <si>
    <t>lirice.arriaga@soonerpipe.com</t>
  </si>
  <si>
    <t>909 Fannin St Ste 3100
Houston Texas 77010
USA</t>
  </si>
  <si>
    <t>Sovos Compliance</t>
  </si>
  <si>
    <t>ATTN: Accounts Payable
9800 Bren Road East
Suite 300
Minnetonka, MN 55343</t>
  </si>
  <si>
    <t>Spiceworks</t>
  </si>
  <si>
    <t>3700 N. Capital of Texas Highway, Unit #100
Austin, TX 78746</t>
  </si>
  <si>
    <t>ST Genetics</t>
  </si>
  <si>
    <t>Phone: (920) 921-6029</t>
  </si>
  <si>
    <t>22575 State Highway 6 South
Navasota TX 77868</t>
  </si>
  <si>
    <t>Storm Petrel LLC</t>
  </si>
  <si>
    <t>Phone: (802) 368-1982</t>
  </si>
  <si>
    <t>support@storm-petrel.com</t>
  </si>
  <si>
    <t>PO Box 96
West Halifax VT 05358</t>
  </si>
  <si>
    <t>Stream Energy</t>
  </si>
  <si>
    <t>Phone: (214) 367-4640</t>
  </si>
  <si>
    <t>mary.ramsey@mystream.com</t>
  </si>
  <si>
    <t>Mary Ramsey</t>
  </si>
  <si>
    <t>14675 Dallas Parkway Suite 150
Dallas TX 75254
US</t>
  </si>
  <si>
    <t>Surdell Partners</t>
  </si>
  <si>
    <t>Phone: (402) 501-7430</t>
  </si>
  <si>
    <t>akanzmeier@surdellpartners.com</t>
  </si>
  <si>
    <t>Adam Kanzmeier</t>
  </si>
  <si>
    <t>3850 South 149th Street, Suite 102
Omaha NE 68144
US</t>
  </si>
  <si>
    <t>Targetbase</t>
  </si>
  <si>
    <t>Carolyn Omalley</t>
  </si>
  <si>
    <t>7850 N. Belt Line Road
Irving TX 75063</t>
  </si>
  <si>
    <t>Team Car Care, LLC/ Jiffy Lube</t>
  </si>
  <si>
    <t>ap@jiffyworld.com</t>
  </si>
  <si>
    <t>105 Decker Court, Suite 900,
Irving TX 75062-9731</t>
  </si>
  <si>
    <t>100 Spectrum Center Drive Suite 700
Irvine CA 92618</t>
  </si>
  <si>
    <t>Texas  de Brazil</t>
  </si>
  <si>
    <t>2952 N. Stemmons Fwy
Dallas TX 75247</t>
  </si>
  <si>
    <t>Texas A&amp;M University System</t>
  </si>
  <si>
    <t>301 Tarrow St
College Station TX 77840-7896</t>
  </si>
  <si>
    <t>Texas Boll Weevil Eradication Foundation, I</t>
  </si>
  <si>
    <t>P.O. Box 5089
Abilene TX 79608-5089</t>
  </si>
  <si>
    <t>edrifkin@texasdebrazil.com</t>
  </si>
  <si>
    <t>The District of Columbia Court</t>
  </si>
  <si>
    <t>500 Indiana Avenue N. W. Rm 1500
Washington D.C. 20001
USA</t>
  </si>
  <si>
    <t>Transnetyx, Inc.</t>
  </si>
  <si>
    <t>Phone: 9015070476</t>
  </si>
  <si>
    <t>jminnick@transnetyx.com</t>
  </si>
  <si>
    <t>8110 Cordova Rd Ste 119
Cordova TN 38016
United States</t>
  </si>
  <si>
    <t>TRAXXAS CORPORATION</t>
  </si>
  <si>
    <t>1100 Klein Rd
Plano TX 75074-3782</t>
  </si>
  <si>
    <t>Triad (Los Alamos National Laboratory)</t>
  </si>
  <si>
    <t>invoices@lanl.gov</t>
  </si>
  <si>
    <t>Attention: Accounts Payable MS P240
PO Box 1663
Los Alamos, NM  87545</t>
  </si>
  <si>
    <t>Uber Technologies, Inc.,</t>
  </si>
  <si>
    <t>1455 Market St., Suite 400,
San Francisco CA 94103
USA</t>
  </si>
  <si>
    <t>UMass Memorial Medical Center, Inc.</t>
  </si>
  <si>
    <t>blessy.varghese@viscositya.com</t>
  </si>
  <si>
    <t>22 Shattuck St, 1st floor
Worcester, MA 01605</t>
  </si>
  <si>
    <t>30600 Telegraph Road
Suite 4000
Bingham Farms MI 48025</t>
  </si>
  <si>
    <t>Phone: (248) 593-0138
Mobile: (734) 625-5271</t>
  </si>
  <si>
    <t>mreilly@updoctors.com</t>
  </si>
  <si>
    <t>30600 Telegraph Road Suite 4000
Bingham Farms MI 48025
US</t>
  </si>
  <si>
    <t>United States Treasury</t>
  </si>
  <si>
    <t>US Post Office</t>
  </si>
  <si>
    <t>US Renal Care</t>
  </si>
  <si>
    <t>ApInvoice@USRENALCARE.COM</t>
  </si>
  <si>
    <t>5851 Legacy Cir Ste 900
Plano Texas 75024-5966
United States</t>
  </si>
  <si>
    <t>VCE</t>
  </si>
  <si>
    <t>1500 N. Greenville Avenue Suite 1100
Richardson TX 75081</t>
  </si>
  <si>
    <t>Vendita</t>
  </si>
  <si>
    <t>brad.petrus@vendita.com, michael.gagliardo@vendita.com</t>
  </si>
  <si>
    <t>4890 W. Kennedy Blvd., Suite 920
Tampa FL 33609</t>
  </si>
  <si>
    <t>Vertex Data Utility Services, LLC</t>
  </si>
  <si>
    <t>Phone: 2145761000</t>
  </si>
  <si>
    <t>501 W Pres G Bush Hwy 3 #350
Richardson TX 75080
USA</t>
  </si>
  <si>
    <t>ap@viscosityna.com</t>
  </si>
  <si>
    <t>Viscosity Technology LLC</t>
  </si>
  <si>
    <t>Vizient, Inc.</t>
  </si>
  <si>
    <t>Darlena Simmons</t>
  </si>
  <si>
    <t>290 E. John Carpenter Fwy
Irving TX 75062</t>
  </si>
  <si>
    <t>Vizient, Inc.:12032 NRE Phase 3</t>
  </si>
  <si>
    <t>290 E. John Carpenter Fwy_x000D_
Irving, TX  75062
PROJECT:  12032 NRE Phase III</t>
  </si>
  <si>
    <t>Vizient, Inc.:12565 - Purchased Services</t>
  </si>
  <si>
    <t>290 E. John Carpenter Fwy
Irving, TX 75062
Project: 12565 - Purchased Services</t>
  </si>
  <si>
    <t>Vizient, Inc.:13050 Emptoris Upgrade</t>
  </si>
  <si>
    <t>290 E. John Carpenter Fwy
Irving, TX 75062
Project: 13050 Emptoris Upgrade</t>
  </si>
  <si>
    <t>Vizient, Inc.:13159 CapitalDash</t>
  </si>
  <si>
    <t>290 E. John Carpenter Fwy_x000D_
Irving, TX  75062
PROJECT: 13159 CapitalDash</t>
  </si>
  <si>
    <t>Vizient, Inc.:13160 - M&amp;S CP/DataLYNX</t>
  </si>
  <si>
    <t>290 E. John Carpenter Fwy
Irving, TX 75062
Project: 13160 - M&amp;S CP/DataLYNX</t>
  </si>
  <si>
    <t>Vizient, Inc.:13167 - M&amp;S - Contract Mgmt/Price Mgmt</t>
  </si>
  <si>
    <t>290 E. John Carpenter Fwy
Irving, TX 75062
Project: 13167 - M&amp;S -Contract Mgmt/Price Mgmt</t>
  </si>
  <si>
    <t>Vizient, Inc.:13440 Supply Chain Integration</t>
  </si>
  <si>
    <t>290 E John Carpenter Freeway_x000D_
Irving, TX   75062
PROJECT:  13440 Supply Chain Integration</t>
  </si>
  <si>
    <t>Vizient, Inc.:13905 - Capital Procurement</t>
  </si>
  <si>
    <t>290 E. John Carpenter Fwy_x000D_
Irving, TX  75062_x000D_
PROJECT: 13905 - Capital Procurement</t>
  </si>
  <si>
    <t>Vizient, Inc.:13925 Unit Measure</t>
  </si>
  <si>
    <t>290 E. John Carpenter Fwy
Irving TX 75062
PROJECT: 13925 Unit Measure</t>
  </si>
  <si>
    <t>Vizient, Inc.:13940 ValueLYNX</t>
  </si>
  <si>
    <t>290 E. John Carpenter Fwy
Irving TX 75062
PROJECT: 13940 ValueLYNX</t>
  </si>
  <si>
    <t>Vizient, Inc.:14538 New Member Savings</t>
  </si>
  <si>
    <t>290 E. John Carpenter Fwy
Irving, TX 75062
Project: 14538 New Member Savings</t>
  </si>
  <si>
    <t>Vizient, Inc.:14623-Atlas Spend-Price Integration</t>
  </si>
  <si>
    <t>290 E. John Carpenter Fwy_x000D_
Irving, TX 75062_x000D_
PROJECT: 14623-Spend Price Management 1.0 (Atlas)</t>
  </si>
  <si>
    <t>Vizient, Inc.:14626 DM Workflow 2.0</t>
  </si>
  <si>
    <t>290 E. John Carpenter Fwy
Irving, TX 75062
Project: 14626 DM Workflow 2.0</t>
  </si>
  <si>
    <t>Vizient, Inc.:14627 - M&amp;S Operational Systems/Exadata</t>
  </si>
  <si>
    <t>290 E. John Carpenter Fwy _x000D_
Irving, TX 75062_x000D_
PROJECT: 14627 - M&amp;S Operational Systems/Exadata</t>
  </si>
  <si>
    <t>Vizient, Inc.:14628 - M&amp;S - Operational Systems/ADS</t>
  </si>
  <si>
    <t>290 E. John Carpenter Fwy
Irving, TX 75062
Project: 14628 - M&amp;S - Operational Systems/ADS</t>
  </si>
  <si>
    <t>Vizient, Inc.:14630 - M&amp;S - Operational Systems/Apex</t>
  </si>
  <si>
    <t>290 E. John Carpenter Fwy
Irving, TX 75062
Project: 14630 - M&amp;S - Operational Systems/Apex</t>
  </si>
  <si>
    <t>Vizient, Inc.:14631 - Exadata Data</t>
  </si>
  <si>
    <t>290 E. John Carpenter Fwy_x000D_
Irving, TX  75062_x000D_
PROJECT: 14631 - Exadata Data</t>
  </si>
  <si>
    <t>Vizient, Inc.:14633 Provista NAC Processing</t>
  </si>
  <si>
    <t>290 E. John Carpenter Fwy
Irving, TX 75062
Project: 14633 Provista NAC Processing</t>
  </si>
  <si>
    <t>Vizient, Inc.:14634 HYBRIS PHASE II</t>
  </si>
  <si>
    <t>290 E. John Carpenter Fwy_x000D_
Irving, TX 75062_x000D_
PROJECT: 14634 HYBRIS PHASE II</t>
  </si>
  <si>
    <t>Vizient, Inc.:14636 - Analytics Migration to Exadata</t>
  </si>
  <si>
    <t>290 E. John Carpenter Fwy _x000D_
Irving, TX 75062_x000D_
PROJECT: 14636 - Analytics Migration to Exadata</t>
  </si>
  <si>
    <t>Vizient, Inc.:14640 - M&amp;S CP/Virtual Item Master</t>
  </si>
  <si>
    <t>290 E. John Carpenter Fwy
Irving, TX 75062
14640 - M&amp;S CP/Virtual Item Master</t>
  </si>
  <si>
    <t>Vizient, Inc.:14642 M&amp;S CP/Virtual Formulary</t>
  </si>
  <si>
    <t>290 E. John Carpenter Fwy
Irving, TX 75062
Project: 14642 M&amp;S CP/Virtual Formulary</t>
  </si>
  <si>
    <t>Vizient, Inc.:14643 - M&amp;S CP/Value Analysis Workflow</t>
  </si>
  <si>
    <t>290 E. John Carpenter Fwy
Irving TX 75062
Project: 14643 - M&amp;S CP/Value Analysis Workflow</t>
  </si>
  <si>
    <t>Vizient, Inc.:14645 - M&amp;S - Spend Price</t>
  </si>
  <si>
    <t>290 E. John Carpenter Fwy
Irving, TX 75062
Project:14645: M&amp;S Spend Price</t>
  </si>
  <si>
    <t>Vizient, Inc.:14646 - M&amp;S - Tech Dev Events</t>
  </si>
  <si>
    <t>290 E. John Carpenter Fwy
Irving, TX 75062
14646 - M&amp;S - Tech Dev Events</t>
  </si>
  <si>
    <t>Vizient, Inc.:14647-  Market Place Portal</t>
  </si>
  <si>
    <t>290 E. John Carpenter Fwy_x000D_
Irving, TX 75062_x000D_
Project: 14647-  Market Place Portal</t>
  </si>
  <si>
    <t>Vizient, Inc.:14659 ICE Phase 2</t>
  </si>
  <si>
    <t>290 E. John Carpenter Fwy
 Irving, TX 75062
 Project: 14659 - ICE Phase 2</t>
  </si>
  <si>
    <t>Vizient, Inc.:15075 - M&amp;S Exadata Co-Lo Move</t>
  </si>
  <si>
    <t>290 E. John Carpenter Fwy
Irving TX 75062
Project: 15075 - M&amp;S Exadata Co-Lo Move</t>
  </si>
  <si>
    <t>Vizient, Inc.:15271 - Member Specific Pricing</t>
  </si>
  <si>
    <t>290 E. John Carpenter Fwy
Irving TX 75062
Project: 15271 - Member Specific Pricing</t>
  </si>
  <si>
    <t>Vizient, Inc.:15273 - Exadata Security Infrastructure</t>
  </si>
  <si>
    <t>290 E. John Carpenter Fwy
Irving, TX 75062
Project: 15273 - Exadata Security Infrastructure</t>
  </si>
  <si>
    <t>Vizient, Inc.:15275 - Agile BI</t>
  </si>
  <si>
    <t>290 E. John Carpenter Fwy
Irving, TX 75062
Project: 15275 - Agile BI</t>
  </si>
  <si>
    <t>Vizient, Inc.:15278 - Committed Platform</t>
  </si>
  <si>
    <t>290 E. John Carpenter Fwy
Irving, TX 75062
15278 - Committed Platform</t>
  </si>
  <si>
    <t>Vizient, Inc.:15278-Commited Platform</t>
  </si>
  <si>
    <t>290 E. John Carpenter Fwy
Irving, TX 75062
15278-Commited Platform</t>
  </si>
  <si>
    <t>Vizient, Inc.:15282 - Atlas Clinical Supply Integration</t>
  </si>
  <si>
    <t>290 E. John Carpenter Fwy
Irving, TX 75062
PROJECT: 15282 - Atlas Clinical Supply Integration</t>
  </si>
  <si>
    <t>Vizient, Inc.:15468 - BOS</t>
  </si>
  <si>
    <t>290 E. John Carpenter Fwy
Irving, TX 75062
15468 - BOS</t>
  </si>
  <si>
    <t>Vizient, Inc.:15595 – Apollo Capital – Build</t>
  </si>
  <si>
    <t>290 E. John Carpenter Fwy
Irving, TX 75062
15595 – Apollo Capital – Build</t>
  </si>
  <si>
    <t>Vizient, Inc.:15595 - Atlas- Capital Analytics</t>
  </si>
  <si>
    <t>290 E.John Carpenter Fwy
Irving, TX 75062
Project:15595 - Atlas- Capital Analytics</t>
  </si>
  <si>
    <t>Vizient, Inc.:15604 - Purchased Services Data Management</t>
  </si>
  <si>
    <t>290 E. John Carpenter Fwy
Irving, TX 75062
Project: 15604 - Purchased Services Data Management</t>
  </si>
  <si>
    <t>Vizient, Inc.:15625 - Spend Manager Enhancements</t>
  </si>
  <si>
    <t>290 E. John Carpenter Fwy
Irving, TX 75062
Project: 15625 - Spend Manager Enhancements</t>
  </si>
  <si>
    <t>Vizient, Inc.:15627 - Purchased Services Analytics</t>
  </si>
  <si>
    <t>290 E. John Carpenter Fwy
Irving, TX 75062
Project: 15627 - Purchased Services Analytics
Irving TX 75062</t>
  </si>
  <si>
    <t>Vizient, Inc.:15628-MPP NSG</t>
  </si>
  <si>
    <t>290 E. John Carpenter Fwy
Irving, TX 75062
PROJECT: 15628-MPP NSG
75062</t>
  </si>
  <si>
    <t>Vizient, Inc.:15637- Item Master MMIS Intergration</t>
  </si>
  <si>
    <t>290 E. John Carpenter Fwy
Irving, TX 75062
15637- Item Master MMIS Intergration</t>
  </si>
  <si>
    <t>Vizient, Inc.:15637-Item Master MMIS Intergration</t>
  </si>
  <si>
    <t>290 E. John Carpenter Fwy
Irving, TX 75062
15637-Item Master MMIS Intergration</t>
  </si>
  <si>
    <t>Vizient, Inc.:15688 - Value Analysis Enhancements</t>
  </si>
  <si>
    <t>290 E. John Carpenter Fwy
Irving, TX 75062
Project: 15688 - Value Analysis Enhancements</t>
  </si>
  <si>
    <t>Vizient, Inc.:15696 - MP Platform and Portal</t>
  </si>
  <si>
    <t>290 E. John Carpenter Fwy
Irving,TX 75062
PROJECT: 15696 - MP Platform and Portal</t>
  </si>
  <si>
    <t>Vizient, Inc.:15825  - Excelerate - Detail Initiatives</t>
  </si>
  <si>
    <t>290 E. John Carpenter Fwy
Irving, TX 75062
Project: 15825  - Excelerate - Detail Initiatives</t>
  </si>
  <si>
    <t>Vizient, Inc.:15914- PRISM-Trans to Exadata</t>
  </si>
  <si>
    <t>290 E. John Carpenter Fwy
Irving, TX 75062
PROJECT:15914- PRISM-Trans to Exadata</t>
  </si>
  <si>
    <t>Vizient, Inc.:15953 - M&amp;S Atlas Pilot Application Support</t>
  </si>
  <si>
    <t>290 E John Carpenter Fwy
Irving, TX 75062
PROJECT: 15953 - M&amp;S Atlas Pilot Application Support</t>
  </si>
  <si>
    <t>Vizient, Inc.:15977-ESM- Pega 2015-Build</t>
  </si>
  <si>
    <t>290 E. John Carpenter Fwy
Irving, TX 75062
Project: 15977-ESM- Pega 2015-Build</t>
  </si>
  <si>
    <t>Vizient, Inc.:16003-APOLLO-Build</t>
  </si>
  <si>
    <t>290 E. John Carpenter Fwy
Irving, TX 75062
Project: 16003-APOLLO-Build</t>
  </si>
  <si>
    <t>Vizient, Inc.:16003-Apollo-Build-Apollo Core</t>
  </si>
  <si>
    <t>290 E. John Carpenter Fwy
Irving, TX 75062
16003-Apollo-Build-Apollo Core</t>
  </si>
  <si>
    <t>Vizient, Inc.:16138 - M&amp;S - Portal GA- Maintenance</t>
  </si>
  <si>
    <t>290 E. John Carpenter Fwy
Irving, TX 75062
Project: 16138 - M&amp;S - Portal GA- Maintenance</t>
  </si>
  <si>
    <t>Vizient, Inc.:16323 - Vizient Product Branding</t>
  </si>
  <si>
    <t>290 E. John Carpenter Fwy
Irving, TX 75062
16323 - Vizient Product Branding</t>
  </si>
  <si>
    <t>Vizient, Inc.:16323- Vizient Product Branding</t>
  </si>
  <si>
    <t>290 E. John Carpenter Fwy
Irving, TX 75062
Project: 16323- Vizient Product Branding</t>
  </si>
  <si>
    <t>Vizient, Inc.:16329 - Supply Chain Dev - Admin</t>
  </si>
  <si>
    <t>290 E. John Carpenter Fwy
Irving, TX 75062
Project: 16329 - Supply Chain Dev - Admin</t>
  </si>
  <si>
    <t>Vizient, Inc.:16609 - M&amp;S Price Management</t>
  </si>
  <si>
    <t>290 E. John Carpenter Fwy
Irving, TX
75062
Projec: 16609 - M&amp;S Price Management</t>
  </si>
  <si>
    <t>Vizient, Inc.:16610 - M&amp;S Operational Systems/Exadata</t>
  </si>
  <si>
    <t>290 E. John Carpenter Fwy
Irving, TX 75062
16610 - M&amp;S Operational Systems/Exadata</t>
  </si>
  <si>
    <t>Vizient, Inc.:16612-M&amp;S Exadata Database Cloning Strategy</t>
  </si>
  <si>
    <t>290 E. John Carpenter Fwy
Irving, TX 75062
Project: 16612-M&amp;S Exadata Database Cloning Strategy</t>
  </si>
  <si>
    <t>Vizient, Inc.:16613 - M&amp;S Exadata Database Demo</t>
  </si>
  <si>
    <t>290 E. John Carpenter Fwy
Irving, TX 75062
Project: 16613 - M&amp;S Exadata Database Demo</t>
  </si>
  <si>
    <t>Vizient, Inc.:16621-M&amp;S CP/Virtual Item Master</t>
  </si>
  <si>
    <t>290 E. John Carpenter Fwy
Irving, TX 75062
16621-M&amp;S CP/Virtual Item Master</t>
  </si>
  <si>
    <t>Vizient, Inc.:16622 - M&amp;S Operational Systems</t>
  </si>
  <si>
    <t>290 E. John Carpenter Fwy
Irving, TX 75062
16622 - M&amp;S Operational Systems</t>
  </si>
  <si>
    <t>Vizient, Inc.:16634 - M&amp;S - Build &amp; Maintain Data</t>
  </si>
  <si>
    <t>290 E. John Carpenter Fwy
Project: 16634 - M&amp;S - Build &amp; Maintain Data
Irving TX 75062</t>
  </si>
  <si>
    <t>Vizient, Inc.:16635 - M&amp;S - Hybris</t>
  </si>
  <si>
    <t>290 E. John Carpenter Fwy
Irving, TX
75062
Project: 16635 - M&amp;S - Hybris</t>
  </si>
  <si>
    <t>Vizient, Inc.:16645 - M&amp;S - Tech Dev Events- Business/Prod Support</t>
  </si>
  <si>
    <t>290 E. John Carpenter Fwy
Irving, TX 75062
16645 - M&amp;S - Tech Dev Events- Business/Prod Support
Irving TX 75062</t>
  </si>
  <si>
    <t>Vizient, Inc.:16652 - M&amp;S Charge Master/SynchroLynx</t>
  </si>
  <si>
    <t>290 E. John Carpenter Fwy
Irving, TX 75062
Project: 16652 - M&amp;S - Charge Master/Synchrolynx</t>
  </si>
  <si>
    <t>Vizient, Inc.:16656-PRISM-Trans to Exadata Proj</t>
  </si>
  <si>
    <t>290 E. John Carpenter Fwy
Irving, TX 75062
16656-PRISM-Trans to Exadata Proj</t>
  </si>
  <si>
    <t>Vizient, Inc.:16668-M&amp;S CP/Value Analysis</t>
  </si>
  <si>
    <t>290 E. John Carpenter Fwy
Irving, TX 75062
16668-M&amp;S CP/Value Analysis</t>
  </si>
  <si>
    <t>Vizient, Inc.:16709 - M&amp;S - PCS/CPP (2016)</t>
  </si>
  <si>
    <t>290 E. John Carpenter Fwy
Irving, TX 75062
Project: 16709 - M&amp;S - PCS/CPP (2016)</t>
  </si>
  <si>
    <t>Vizient, Inc.:16710 - M&amp;S - CPA/ESM (2016)</t>
  </si>
  <si>
    <t>290 E. John Carpenter Fwy
Irving, TX 75062
Project: 16710 - M&amp;S - CPA/ESM (2016)</t>
  </si>
  <si>
    <t>Vizient, Inc.:16736 - New Business Ventures2 (ACPULL)</t>
  </si>
  <si>
    <t>Vizient, Inc.:16753-Portal Apollo Data Alignment</t>
  </si>
  <si>
    <t>290 E.John Carpenter Fwy
Irving, TX 75062
Project: 16753-Portal Apollo Data Alignment</t>
  </si>
  <si>
    <t>Vizient, Inc.:16779-INT2-Supply/MedAssets Integration</t>
  </si>
  <si>
    <t>290 E.John Carpenter Fwy
Irving, TX 75062
Project: 16779-INT2-Supply/MedAssets Integration</t>
  </si>
  <si>
    <t>Vizient, Inc.:16893 - INT2 - IT Ops Data</t>
  </si>
  <si>
    <t>290 E. John Carpenter Fwy
Irving, TX 75062
16893 - INT2 - IT Ops Data</t>
  </si>
  <si>
    <t>Vizient, Inc.:16911-Supply Metrics Dashboard</t>
  </si>
  <si>
    <t>290 E.John Carpenter Fwy
Irving, TX 75062
Project:16911-Supply Metrics Dashboard</t>
  </si>
  <si>
    <t>Vizient, Inc.:16931 - INT2 - Catalog - Build</t>
  </si>
  <si>
    <t>290 E. John Carpenter Fwy
Irving, TX 75062
Project: 16931 - INT2 - Catalog - Build</t>
  </si>
  <si>
    <t>Vizient, Inc.:16967 - Apollo Spend Essentials (2016)</t>
  </si>
  <si>
    <t>290 E. John Carpenter Fwy
Irving, TX 75062
Project: 16967 - Apollo Spend Essentials (2016)</t>
  </si>
  <si>
    <t>Vizient, Inc.:17038 - IBD - P2B - Prototype Phase</t>
  </si>
  <si>
    <t>290 E. John Carpenter Fwy
Irving, TX 75062
Project: 17038 - IBD- P2B - Prototype Phase</t>
  </si>
  <si>
    <t>Vizient, Inc.:17043 - Contract/Price/Vendor Migration</t>
  </si>
  <si>
    <t>290 E. John Carpenter Fwy
Irving, TX 75062
Project: 17043 - Contract/Price/Vendor Migration</t>
  </si>
  <si>
    <t>Vizient, Inc.:17046 - Supply Data Intake - Standard</t>
  </si>
  <si>
    <t>290 E. John Carpenter Fwy
Irving, TX 75062
Project: 17046 - Supply Data Intake - Standard</t>
  </si>
  <si>
    <t>Vizient, Inc.:17050 - MDAS Pharmacy Analytics Port</t>
  </si>
  <si>
    <t>Vizient, Inc.:17226 - Apollo Spend Management</t>
  </si>
  <si>
    <t>290 E. John Carpenter Fwy
Irving, TX 75062
Project: 17226 - Apollo Spend Management</t>
  </si>
  <si>
    <t>Vizient, Inc.:18504 - M&amp;S- Actualyzer (2017)</t>
  </si>
  <si>
    <t>Vizient, Inc.
290 E. John Carpenter Fwy
Irving, TX 75062
Project: 18504 - M&amp;S- Actualyzer (2017)</t>
  </si>
  <si>
    <t>Vizient, Inc.:18505-M&amp;S-Spend Management</t>
  </si>
  <si>
    <t>Vizient, Inc.
290 E. John Carpenter Fwy
Irving, TX 75062
Project: 18505-M&amp;S-Spend Management</t>
  </si>
  <si>
    <t>Vizient, Inc.:18508-M&amp;S-Spend Manager</t>
  </si>
  <si>
    <t>Vizient, Inc.
290 E. John Carpenter Fwy
Irving, TX 75062
Project: 18508-M&amp;S-Spend Manager</t>
  </si>
  <si>
    <t>Vizient, Inc.:18510 - M&amp;S - Pharmacy (2017)</t>
  </si>
  <si>
    <t>Vizient, Inc.
290 E. John Carpenter Fwy
Irving, TX 75062
Project: 18510 - M&amp;S - Pharmacy (2017)</t>
  </si>
  <si>
    <t>Vizient, Inc.:18518 - GPO Core (2017) - Pega</t>
  </si>
  <si>
    <t>Vizient, Inc.
290 E. John Carpenter Fwy
Irving, TX 75062
Project:18518 - GPO Core (2017) - Pega</t>
  </si>
  <si>
    <t>Vizient, Inc.:18527 - M&amp;S - Exadata (2017)</t>
  </si>
  <si>
    <t>Vizient, Inc.
290 E. John Carpenter Fwy
Irving, TX 75062
Project: 18527 - M&amp;S - Exadata (2017)
Irving TX 75062</t>
  </si>
  <si>
    <t>Vizient, Inc.:18538 - Ediom - Clinical Literature Automation and Integration</t>
  </si>
  <si>
    <t>Vizient, Inc.
290 E. John Carpenter Fwy
Irving, TX 75062
Project: 18538 - Ediom - Clinical Literature Automation and Integration</t>
  </si>
  <si>
    <t>Vizient, Inc.:18539- Intelliscource Enhancements</t>
  </si>
  <si>
    <t>Darlena Simmons
Vizient, Inc.
290 E. John Carpenter Fwy
Irving, TX 75062
Project: 18539- Intelliscource Enhancements</t>
  </si>
  <si>
    <t>Vizient, Inc.:18650 - ADMIN -Data Warehousing</t>
  </si>
  <si>
    <t>Vizient, Inc.
290 E. John Carpenter Fwy
Irving, TX 75062
Project: Vizient, Inc.
290 E. John Carpenter Fwy
Irving, TX 75062
Project: 18650 - ADMIN -Data Warehousing</t>
  </si>
  <si>
    <t>Vizient, Inc.:18682 - M&amp;S - DataLYNX (2017)</t>
  </si>
  <si>
    <t>Vizient, Inc.
290 E. John Carpenter Fwy
Irving, TX 75062
Project: 18682 - M&amp;S - DataLYNX (2017)</t>
  </si>
  <si>
    <t>Vizient, Inc.:18691 - M&amp;S- RDM (2017)</t>
  </si>
  <si>
    <t>Vizient, Inc.
290 E. John Carpenter Fwy
Irving, TX 75062
Project: 18691 - M&amp;S- RDM (2017)</t>
  </si>
  <si>
    <t>Vizient, Inc.:18802 - M&amp;S Ediom Data (2017)</t>
  </si>
  <si>
    <t>Vizient, Inc.
290 E. John Carpenter Fwy
Irving, TX 75062
Project: Vizient, Inc.
290 E. John Carpenter Fwy
Irving, TX 75062
Project: 18802 - M&amp;S Ediom Data (2017)</t>
  </si>
  <si>
    <t>Vizient, Inc.:19146 - M&amp;S Technical Debt (2017)</t>
  </si>
  <si>
    <t>Vizient, Inc.
290 E. John Carpenter Fwy
Irving, TX 75062
Project: Vizient, Inc.
290 E. John Carpenter Fwy
Irving, TX 75062
Project: 19146 - M&amp;S Technical Debt (2017)</t>
  </si>
  <si>
    <t>Vizient, Inc.:19255-GHX Data Feeds</t>
  </si>
  <si>
    <t>Vizient, Inc.
290 E. John Carpenter Fwy
Irving, TX 75062
Project: 19255-GHX Data Feeds</t>
  </si>
  <si>
    <t>Vizient, Inc.:19594 Hackathon (2017)</t>
  </si>
  <si>
    <t>Vizient, Inc.
290 E. John Carpenter Fwy
Irving, TX 75062
Project: Vizient, Inc.
290 E. John Carpenter Fwy
Irving, TX 75062
Project: 19594 Hackathon (2017)</t>
  </si>
  <si>
    <t>Vizient, Inc.:Aptitude</t>
  </si>
  <si>
    <t>Mandi Butler</t>
  </si>
  <si>
    <t>Vizient, Inc.:Oracle Managed Services</t>
  </si>
  <si>
    <t>Robert Steinbach</t>
  </si>
  <si>
    <t>290 E. John Carpenter Fwy
Irving, TX 75062
Project: Oracle Managed Services</t>
  </si>
  <si>
    <t>Vizient, Inc.:Purchased Services</t>
  </si>
  <si>
    <t>290 E John Carpenter Freeway
Irving TX 75038
Project:   Purchased Services</t>
  </si>
  <si>
    <t>Vizient, Inc.:Value Analysis</t>
  </si>
  <si>
    <t>Novation_x000D_
290 E. John Carpenter Fwy_x000D_
Irving, TX  75062
PROJECT: Value Analysis</t>
  </si>
  <si>
    <t>Vizient, Inc.:Vizient 18534-Purchase Service Analytics</t>
  </si>
  <si>
    <t>Darlena Simmons
Vizient, Inc.
290 E. John Carpenter Fwy
Irving, TX 75062
Project: 18534-Purchase Service Analytics</t>
  </si>
  <si>
    <t>Vizient, Inc.:Vizient-18521- Hybris M&amp;S(2017)</t>
  </si>
  <si>
    <t>Darlena Simmons
Vizient, Inc.
290 E. John Carpenter Fwy
Irving, TX 75062
Project: 18521- Hybris M&amp;S(2017)</t>
  </si>
  <si>
    <t>VMWare</t>
  </si>
  <si>
    <t>AP@vmware.com</t>
  </si>
  <si>
    <t>PO Box 51980
Palo Alto CA 94303</t>
  </si>
  <si>
    <t>andyy@votec.net</t>
  </si>
  <si>
    <t>10920 Via Frontera #110
San Diego CA 92127
USA</t>
  </si>
  <si>
    <t>Watts Guerra LLPP</t>
  </si>
  <si>
    <t>4 Dominion Drive, Bldg 3
San Antonio TX 78257
USA</t>
  </si>
  <si>
    <t>Wellcare Health Plans</t>
  </si>
  <si>
    <t>8735 Henderson Rd
Tampa FL 33634
USA</t>
  </si>
  <si>
    <t>Williams</t>
  </si>
  <si>
    <t>IBM TULSA DELIVERY CENTER - SOUTH 6
PO BOX 21218
TULSA, OK 74121-1218
United States</t>
  </si>
  <si>
    <t>Williams- AMIGO3</t>
  </si>
  <si>
    <t>Attn: PO#633789/Routing Code # NXC99
IBM Tulsa Delivery Center-South 6
PO BOX 21218
Tulsa, OK 74121-1218
UNITED STATES</t>
  </si>
  <si>
    <t>Williams -GasKit Customer Interface</t>
  </si>
  <si>
    <t>Williams:Williams - GasKit Development</t>
  </si>
  <si>
    <t>World Wildlife Fund</t>
  </si>
  <si>
    <t>Attn: Anne Topp
1250 24th Street, N.W.
Washington, DC 20037-1193</t>
  </si>
  <si>
    <t>Worldwide Clinical Trials (WWCT)</t>
  </si>
  <si>
    <t>WWCT</t>
  </si>
  <si>
    <t>8609 Cross Park Dr
Austin TX 78754-4565</t>
  </si>
  <si>
    <t>Worldwide Clinical Trials, Inc.</t>
  </si>
  <si>
    <t>SM_GlobalAP@worldwide.com</t>
  </si>
  <si>
    <t>4509 Freidrich Lane
Building 2, Suite 200
Austin TX 78744
USA</t>
  </si>
  <si>
    <t>ap@yodlee.com,  ap.us@Yodlee.com</t>
  </si>
  <si>
    <t>3600 Bridge Parkway,  Suite 200
Redwood city CA 94065
USA</t>
  </si>
  <si>
    <t>Zero Defect Computing, Inc.</t>
  </si>
  <si>
    <t>jczuprynski@zerodefectcomputing.com</t>
  </si>
  <si>
    <t>31 Pebble Beach Lane
Bartlett IL 60103</t>
  </si>
  <si>
    <t>Zeus Industrial Products Inc.</t>
  </si>
  <si>
    <t>Phone: (803) 268-5092</t>
  </si>
  <si>
    <t>kkempf@zeusinc.com</t>
  </si>
  <si>
    <t>Kevin Kempf</t>
  </si>
  <si>
    <t>3740 Industrial Blvd.
Orangeburg SC 29118
US</t>
  </si>
  <si>
    <t>Zeus Industrial Products Inc.:Zeus Industrial - Chubb Way Address, Ship to Magnolia</t>
  </si>
  <si>
    <t>Phone: 8035312174</t>
  </si>
  <si>
    <t>Goldie O'Cain</t>
  </si>
  <si>
    <t>134 CHUBB WAY
BRANCHBURG TOWNSHIP NJ 08876
USA</t>
  </si>
  <si>
    <t>620 MAGNOLIA STREET
ORANGEBURG SC 29115</t>
  </si>
  <si>
    <t>Email</t>
  </si>
  <si>
    <t>Full Name</t>
  </si>
  <si>
    <t>Kristee.Woodham@abcfitness.com</t>
  </si>
  <si>
    <t>Column1</t>
  </si>
  <si>
    <t>Viscosity Technology Inc.</t>
  </si>
  <si>
    <t>Customer Contact List</t>
  </si>
  <si>
    <t/>
  </si>
  <si>
    <t>AR</t>
  </si>
  <si>
    <t>AZ</t>
  </si>
  <si>
    <t>CA</t>
  </si>
  <si>
    <t>D.C.</t>
  </si>
  <si>
    <t>EC4R 2YA</t>
  </si>
  <si>
    <t>FL</t>
  </si>
  <si>
    <t>Florida</t>
  </si>
  <si>
    <t>GA</t>
  </si>
  <si>
    <t>IL</t>
  </si>
  <si>
    <t>MI</t>
  </si>
  <si>
    <t>NY</t>
  </si>
  <si>
    <t>TN</t>
  </si>
  <si>
    <t>TX</t>
  </si>
  <si>
    <t>Texas</t>
  </si>
  <si>
    <t>Utah</t>
  </si>
  <si>
    <t>VA</t>
  </si>
  <si>
    <t>WI</t>
  </si>
  <si>
    <t>Not Specified</t>
  </si>
  <si>
    <t>Friday, Sep 09, 2022 08:57:54 AM GMT-7</t>
  </si>
  <si>
    <t>Viscosity North America, Inc.</t>
  </si>
  <si>
    <t>Client Contact List</t>
  </si>
  <si>
    <t>AL</t>
  </si>
  <si>
    <t>Alabama</t>
  </si>
  <si>
    <t>Arkansas</t>
  </si>
  <si>
    <t>CO</t>
  </si>
  <si>
    <t>CT</t>
  </si>
  <si>
    <t>Canada</t>
  </si>
  <si>
    <t>CapitalDash</t>
  </si>
  <si>
    <t>III</t>
  </si>
  <si>
    <t>KY</t>
  </si>
  <si>
    <t>LA</t>
  </si>
  <si>
    <t>MA</t>
  </si>
  <si>
    <t>MD</t>
  </si>
  <si>
    <t>MN</t>
  </si>
  <si>
    <t>MO</t>
  </si>
  <si>
    <t>Missouri</t>
  </si>
  <si>
    <t>NE</t>
  </si>
  <si>
    <t>NJ</t>
  </si>
  <si>
    <t>NV</t>
  </si>
  <si>
    <t>New York</t>
  </si>
  <si>
    <t>OH</t>
  </si>
  <si>
    <t>OK</t>
  </si>
  <si>
    <t>PA</t>
  </si>
  <si>
    <t>SC</t>
  </si>
  <si>
    <t>Supply Chain Integration</t>
  </si>
  <si>
    <t>TEXAS</t>
  </si>
  <si>
    <t>Tx</t>
  </si>
  <si>
    <t>UT</t>
  </si>
  <si>
    <t>WA</t>
  </si>
  <si>
    <t>Friday, Sep 09, 2022 08:55:52 AM GMT-7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</si>
</sst>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8">
    <numFmt numFmtId="6" formatCode="&quot;$&quot;#,##0_);[Red]\(&quot;$&quot;#,##0\)"/>
    <numFmt numFmtId="41" formatCode="_(* #,##0_);_(* \(#,##0\);_(* &quot;-&quot;_);_(@_)"/>
    <numFmt numFmtId="44" formatCode="_(&quot;$&quot;* #,##0.00_);_(&quot;$&quot;* \(#,##0.00\);_(&quot;$&quot;* &quot;-&quot;??_);_(@_)"/>
    <numFmt numFmtId="164" formatCode="&quot;$&quot;#,##0.00"/>
    <numFmt numFmtId="165" formatCode="&quot;$&quot;#,##0"/>
    <numFmt numFmtId="166" formatCode="###,###,###,###,###,###,##0"/>
    <numFmt numFmtId="167" formatCode="&quot;$&quot;###,###,###,###,##0.00"/>
    <numFmt numFmtId="168" formatCode="_(&quot;$&quot;* #,##0_);_(&quot;$&quot;* \(#,##0\);_(&quot;$&quot;* &quot;-&quot;??_);_(@_)"/>
  </numFmts>
  <fonts count="31">
    <font>
      <sz val="11"/>
      <color indexed="8"/>
      <name val="Calibri"/>
      <family val="2"/>
      <scheme val="minor"/>
    </font>
    <font>
      <b/>
      <sz val="9"/>
      <color indexed="8"/>
      <name val="Arial"/>
      <family val="2"/>
    </font>
    <font>
      <b/>
      <sz val="8"/>
      <color indexed="8"/>
      <name val="Arial"/>
      <family val="2"/>
    </font>
    <font>
      <sz val="8"/>
      <color indexed="8"/>
      <name val="Arial"/>
      <family val="2"/>
    </font>
    <font>
      <b/>
      <sz val="14"/>
      <color indexed="8"/>
      <name val="Arial"/>
      <family val="2"/>
    </font>
    <font>
      <b/>
      <sz val="10"/>
      <color indexed="8"/>
      <name val="Arial"/>
      <family val="2"/>
    </font>
    <font>
      <b/>
      <sz val="11"/>
      <color indexed="8"/>
      <name val="Calibri"/>
      <family val="2"/>
      <scheme val="minor"/>
    </font>
    <font>
      <u/>
      <sz val="11"/>
      <color theme="10"/>
      <name val="Calibri"/>
      <family val="2"/>
      <scheme val="minor"/>
    </font>
    <font>
      <sz val="11"/>
      <color rgb="FFFF0000"/>
      <name val="Calibri"/>
      <family val="2"/>
      <scheme val="minor"/>
    </font>
    <font>
      <sz val="11"/>
      <name val="Calibri"/>
      <family val="2"/>
      <scheme val="minor"/>
    </font>
    <font>
      <sz val="11"/>
      <color rgb="FF000000"/>
      <name val="Calibri"/>
      <family val="2"/>
    </font>
    <font>
      <sz val="10"/>
      <color rgb="FF000000"/>
      <name val="Helvetica"/>
    </font>
    <font>
      <b/>
      <sz val="10"/>
      <color rgb="FF000000"/>
      <name val="Helvetica"/>
    </font>
    <font>
      <b/>
      <sz val="11"/>
      <name val="Calibri"/>
      <family val="2"/>
      <scheme val="minor"/>
    </font>
    <font>
      <u/>
      <sz val="11"/>
      <name val="Calibri"/>
      <family val="2"/>
      <scheme val="minor"/>
    </font>
    <font>
      <sz val="9"/>
      <color indexed="81"/>
      <name val="Tahoma"/>
      <family val="2"/>
    </font>
    <font>
      <b/>
      <sz val="9"/>
      <color indexed="81"/>
      <name val="Tahoma"/>
      <family val="2"/>
    </font>
    <font>
      <u/>
      <sz val="11"/>
      <color rgb="FF0563C1"/>
      <name val="Calibri"/>
      <family val="2"/>
      <scheme val="minor"/>
    </font>
    <font>
      <sz val="11"/>
      <color indexed="8"/>
      <name val="Calibri"/>
      <family val="2"/>
      <scheme val="minor"/>
    </font>
    <font>
      <b/>
      <sz val="11"/>
      <color theme="1"/>
      <name val="Calibri"/>
      <family val="2"/>
      <scheme val="minor"/>
    </font>
    <font>
      <b/>
      <sz val="16"/>
      <color theme="8" tint="-0.249977111117893"/>
      <name val="Calibri"/>
      <family val="2"/>
      <scheme val="minor"/>
    </font>
    <font>
      <sz val="11"/>
      <color rgb="FF2B2A3A"/>
      <name val="Open Sans"/>
      <family val="2"/>
    </font>
    <font>
      <sz val="11"/>
      <color rgb="FF0563C1"/>
      <name val="Calibri"/>
      <family val="2"/>
      <scheme val="minor"/>
    </font>
    <font>
      <b/>
      <sz val="11"/>
      <color rgb="FF0563C1"/>
      <name val="Calibri"/>
      <family val="2"/>
      <scheme val="minor"/>
    </font>
    <font>
      <b/>
      <sz val="11"/>
      <color theme="0"/>
      <name val="Calibri"/>
      <family val="2"/>
      <scheme val="minor"/>
    </font>
    <font>
      <b/>
      <u/>
      <sz val="11"/>
      <color indexed="8"/>
      <name val="Calibri"/>
      <family val="2"/>
      <scheme val="minor"/>
    </font>
    <font>
      <b/>
      <u/>
      <sz val="11"/>
      <color theme="10"/>
      <name val="Calibri"/>
      <family val="2"/>
      <scheme val="minor"/>
    </font>
    <font>
      <sz val="18"/>
      <color theme="3"/>
      <name val="Calibri Light"/>
      <family val="2"/>
      <scheme val="major"/>
    </font>
    <font>
      <sz val="11"/>
      <name val="Calibri"/>
      <family val="2"/>
    </font>
    <font>
      <b/>
      <sz val="15"/>
      <color theme="3"/>
      <name val="Calibri"/>
      <family val="2"/>
      <scheme val="minor"/>
    </font>
    <font>
      <b/>
      <sz val="16"/>
      <color indexed="8"/>
      <name val="Calibri"/>
      <family val="2"/>
      <scheme val="minor"/>
    </font>
  </fonts>
  <fills count="12">
    <fill>
      <patternFill patternType="none"/>
    </fill>
    <fill>
      <patternFill patternType="gray125"/>
    </fill>
    <fill>
      <patternFill patternType="solid">
        <fgColor theme="0" tint="-0.249977111117893"/>
        <bgColor indexed="64"/>
      </patternFill>
    </fill>
    <fill>
      <patternFill patternType="solid">
        <fgColor rgb="FFEEEEEE"/>
      </patternFill>
    </fill>
    <fill>
      <patternFill patternType="solid">
        <fgColor rgb="FFEEACAC"/>
        <bgColor indexed="64"/>
      </patternFill>
    </fill>
    <fill>
      <patternFill patternType="solid">
        <fgColor theme="8" tint="0.79998168889431442"/>
        <bgColor indexed="64"/>
      </patternFill>
    </fill>
    <fill>
      <patternFill patternType="solid">
        <fgColor rgb="FFFF0000"/>
        <bgColor indexed="64"/>
      </patternFill>
    </fill>
    <fill>
      <patternFill patternType="solid">
        <fgColor theme="9"/>
        <bgColor indexed="64"/>
      </patternFill>
    </fill>
    <fill>
      <patternFill patternType="solid">
        <fgColor rgb="FFFFC000"/>
        <bgColor indexed="64"/>
      </patternFill>
    </fill>
    <fill>
      <patternFill patternType="solid">
        <fgColor theme="8"/>
        <bgColor theme="8"/>
      </patternFill>
    </fill>
    <fill>
      <patternFill patternType="solid">
        <fgColor theme="0"/>
        <bgColor theme="0" tint="-0.14999847407452621"/>
      </patternFill>
    </fill>
    <fill>
      <patternFill patternType="solid">
        <fgColor theme="0"/>
        <bgColor indexed="64"/>
      </patternFill>
    </fill>
  </fills>
  <borders count="26">
    <border>
      <left/>
      <right/>
      <top/>
      <bottom/>
      <diagonal/>
    </border>
    <border>
      <left/>
      <right/>
      <top/>
      <bottom style="thin">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rgb="FF666666"/>
      </left>
      <right style="thin">
        <color rgb="FF666666"/>
      </right>
      <top style="thin">
        <color rgb="FF666666"/>
      </top>
      <bottom style="thin">
        <color rgb="FF666666"/>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right/>
      <top/>
      <bottom style="medium">
        <color rgb="FF000000"/>
      </bottom>
      <diagonal/>
    </border>
    <border>
      <left/>
      <right/>
      <top/>
      <bottom style="thick">
        <color theme="4"/>
      </bottom>
      <diagonal/>
    </border>
  </borders>
  <cellStyleXfs count="6">
    <xf numFmtId="0" fontId="0" fillId="0" borderId="0"/>
    <xf numFmtId="0" fontId="7" fillId="0" borderId="0" applyNumberFormat="0" applyFill="0" applyBorder="0" applyAlignment="0" applyProtection="0"/>
    <xf numFmtId="0" fontId="10" fillId="0" borderId="0"/>
    <xf numFmtId="44" fontId="18" fillId="0" borderId="0" applyFont="0" applyFill="0" applyBorder="0" applyAlignment="0" applyProtection="0"/>
    <xf numFmtId="0" fontId="27" fillId="0" borderId="0" applyNumberFormat="0" applyFill="0" applyBorder="0" applyAlignment="0" applyProtection="0"/>
    <xf numFmtId="0" fontId="29" fillId="0" borderId="25" applyNumberFormat="0" applyFill="0" applyAlignment="0" applyProtection="0"/>
  </cellStyleXfs>
  <cellXfs count="339">
    <xf numFmtId="0" fontId="0" fillId="0" borderId="0" xfId="0"/>
    <xf numFmtId="0" fontId="1" fillId="0" borderId="1" xfId="0" applyFont="1" applyBorder="1" applyAlignment="1">
      <alignment horizontal="center" wrapText="1"/>
    </xf>
    <xf numFmtId="0" fontId="2" fillId="0" borderId="0" xfId="0" applyFont="1" applyAlignment="1">
      <alignment horizontal="left" wrapText="1"/>
    </xf>
    <xf numFmtId="0" fontId="3" fillId="0" borderId="0" xfId="0" applyFont="1" applyAlignment="1">
      <alignment horizontal="left" wrapText="1"/>
    </xf>
    <xf numFmtId="0" fontId="1" fillId="0" borderId="0" xfId="0" applyFont="1" applyAlignment="1">
      <alignment horizontal="center" wrapText="1"/>
    </xf>
    <xf numFmtId="14" fontId="0" fillId="0" borderId="0" xfId="0" applyNumberFormat="1"/>
    <xf numFmtId="0" fontId="6" fillId="0" borderId="0" xfId="0" applyFont="1"/>
    <xf numFmtId="0" fontId="0" fillId="2" borderId="0" xfId="0" applyFill="1"/>
    <xf numFmtId="14" fontId="1" fillId="0" borderId="0" xfId="0" applyNumberFormat="1" applyFont="1" applyAlignment="1">
      <alignment horizontal="center" wrapText="1"/>
    </xf>
    <xf numFmtId="0" fontId="1" fillId="0" borderId="1" xfId="0" applyFont="1" applyBorder="1" applyAlignment="1">
      <alignment horizontal="center"/>
    </xf>
    <xf numFmtId="0" fontId="8" fillId="0" borderId="0" xfId="0" applyFont="1"/>
    <xf numFmtId="0" fontId="8" fillId="2" borderId="0" xfId="0" applyFont="1" applyFill="1"/>
    <xf numFmtId="0" fontId="6" fillId="0" borderId="0" xfId="0" applyFont="1" applyAlignment="1">
      <alignment horizontal="center" vertical="center"/>
    </xf>
    <xf numFmtId="0" fontId="10" fillId="0" borderId="0" xfId="2"/>
    <xf numFmtId="0" fontId="11" fillId="0" borderId="7" xfId="2" applyFont="1" applyBorder="1" applyAlignment="1">
      <alignment horizontal="left" wrapText="1"/>
    </xf>
    <xf numFmtId="166" fontId="11" fillId="0" borderId="7" xfId="2" applyNumberFormat="1" applyFont="1" applyBorder="1" applyAlignment="1">
      <alignment horizontal="right" wrapText="1"/>
    </xf>
    <xf numFmtId="167" fontId="11" fillId="0" borderId="7" xfId="2" applyNumberFormat="1" applyFont="1" applyBorder="1" applyAlignment="1">
      <alignment horizontal="right" wrapText="1"/>
    </xf>
    <xf numFmtId="0" fontId="12" fillId="3" borderId="7" xfId="2" applyFont="1" applyFill="1" applyBorder="1" applyAlignment="1">
      <alignment horizontal="center" wrapText="1"/>
    </xf>
    <xf numFmtId="0" fontId="0" fillId="0" borderId="0" xfId="0" applyAlignment="1">
      <alignment vertical="center" wrapText="1"/>
    </xf>
    <xf numFmtId="0" fontId="0" fillId="0" borderId="0" xfId="0" applyAlignment="1">
      <alignment vertical="center"/>
    </xf>
    <xf numFmtId="0" fontId="0" fillId="0" borderId="0" xfId="0" applyAlignment="1">
      <alignment horizontal="center" vertical="center"/>
    </xf>
    <xf numFmtId="14" fontId="0" fillId="0" borderId="0" xfId="0" applyNumberFormat="1" applyAlignment="1">
      <alignment horizontal="center" vertical="center"/>
    </xf>
    <xf numFmtId="0" fontId="6" fillId="0" borderId="2" xfId="0" applyFont="1" applyBorder="1" applyAlignment="1">
      <alignment horizontal="center" vertical="center" wrapText="1"/>
    </xf>
    <xf numFmtId="41" fontId="6" fillId="0" borderId="3" xfId="0" applyNumberFormat="1" applyFont="1" applyBorder="1" applyAlignment="1">
      <alignment horizontal="center" vertical="center" wrapText="1"/>
    </xf>
    <xf numFmtId="0" fontId="6" fillId="0" borderId="3" xfId="0" applyFont="1" applyBorder="1" applyAlignment="1">
      <alignment horizontal="center" vertical="center" wrapText="1"/>
    </xf>
    <xf numFmtId="14" fontId="6" fillId="0" borderId="3" xfId="0" applyNumberFormat="1" applyFont="1" applyBorder="1" applyAlignment="1">
      <alignment horizontal="center" vertical="center" wrapText="1"/>
    </xf>
    <xf numFmtId="165" fontId="6" fillId="0" borderId="3" xfId="0" applyNumberFormat="1" applyFont="1" applyBorder="1" applyAlignment="1">
      <alignment horizontal="center" vertical="center" wrapText="1"/>
    </xf>
    <xf numFmtId="164" fontId="6" fillId="0" borderId="4" xfId="0" applyNumberFormat="1" applyFont="1" applyBorder="1" applyAlignment="1">
      <alignment horizontal="center" vertical="center" wrapText="1"/>
    </xf>
    <xf numFmtId="0" fontId="6" fillId="0" borderId="0" xfId="0" applyFont="1" applyAlignment="1">
      <alignment horizontal="center" vertical="center" wrapText="1"/>
    </xf>
    <xf numFmtId="0" fontId="0" fillId="0" borderId="6" xfId="0" applyBorder="1" applyAlignment="1">
      <alignment vertical="center" wrapText="1"/>
    </xf>
    <xf numFmtId="0" fontId="0" fillId="0" borderId="5" xfId="0" applyBorder="1" applyAlignment="1">
      <alignment vertical="center" wrapText="1"/>
    </xf>
    <xf numFmtId="0" fontId="9" fillId="0" borderId="5" xfId="1" applyFont="1" applyFill="1" applyBorder="1" applyAlignment="1">
      <alignment horizontal="center" vertical="center"/>
    </xf>
    <xf numFmtId="14" fontId="0" fillId="0" borderId="5" xfId="0" applyNumberFormat="1" applyBorder="1" applyAlignment="1">
      <alignment horizontal="center" vertical="center"/>
    </xf>
    <xf numFmtId="164" fontId="0" fillId="0" borderId="0" xfId="0" applyNumberFormat="1" applyAlignment="1">
      <alignment vertical="center"/>
    </xf>
    <xf numFmtId="164" fontId="6" fillId="0" borderId="3" xfId="0" applyNumberFormat="1" applyFont="1" applyBorder="1" applyAlignment="1">
      <alignment horizontal="center" vertical="center" wrapText="1"/>
    </xf>
    <xf numFmtId="0" fontId="0" fillId="0" borderId="0" xfId="0" applyAlignment="1">
      <alignment horizontal="center" vertical="center" wrapText="1"/>
    </xf>
    <xf numFmtId="164" fontId="0" fillId="0" borderId="0" xfId="0" applyNumberFormat="1" applyAlignment="1">
      <alignment horizontal="center" vertical="center"/>
    </xf>
    <xf numFmtId="164" fontId="0" fillId="0" borderId="5" xfId="0" applyNumberFormat="1" applyBorder="1" applyAlignment="1">
      <alignment horizontal="center" vertical="center" wrapText="1"/>
    </xf>
    <xf numFmtId="14" fontId="0" fillId="0" borderId="5" xfId="0" applyNumberFormat="1" applyBorder="1" applyAlignment="1">
      <alignment horizontal="center" vertical="center" wrapText="1"/>
    </xf>
    <xf numFmtId="164" fontId="6" fillId="0" borderId="5" xfId="0" applyNumberFormat="1" applyFont="1" applyBorder="1" applyAlignment="1">
      <alignment horizontal="center" vertical="center" wrapText="1"/>
    </xf>
    <xf numFmtId="164" fontId="0" fillId="0" borderId="5" xfId="0" applyNumberFormat="1" applyBorder="1" applyAlignment="1">
      <alignment horizontal="center" vertical="center"/>
    </xf>
    <xf numFmtId="164" fontId="0" fillId="0" borderId="5" xfId="0" applyNumberFormat="1" applyBorder="1" applyAlignment="1">
      <alignment vertical="center"/>
    </xf>
    <xf numFmtId="164" fontId="0" fillId="0" borderId="5" xfId="0" applyNumberFormat="1" applyBorder="1" applyAlignment="1">
      <alignment horizontal="center"/>
    </xf>
    <xf numFmtId="0" fontId="0" fillId="4" borderId="5" xfId="0" applyFill="1" applyBorder="1" applyAlignment="1">
      <alignment vertical="center"/>
    </xf>
    <xf numFmtId="164" fontId="0" fillId="4" borderId="5" xfId="0" applyNumberFormat="1" applyFill="1" applyBorder="1" applyAlignment="1">
      <alignment horizontal="center" vertical="center"/>
    </xf>
    <xf numFmtId="164" fontId="0" fillId="4" borderId="5" xfId="0" applyNumberFormat="1" applyFill="1" applyBorder="1" applyAlignment="1">
      <alignment vertical="center"/>
    </xf>
    <xf numFmtId="14" fontId="0" fillId="4" borderId="5" xfId="0" applyNumberFormat="1" applyFill="1" applyBorder="1" applyAlignment="1">
      <alignment horizontal="center" vertical="center"/>
    </xf>
    <xf numFmtId="0" fontId="6" fillId="0" borderId="0" xfId="0" applyFont="1" applyAlignment="1">
      <alignment vertical="center"/>
    </xf>
    <xf numFmtId="164" fontId="0" fillId="0" borderId="6" xfId="0" applyNumberFormat="1" applyBorder="1" applyAlignment="1">
      <alignment horizontal="center" vertical="center" wrapText="1"/>
    </xf>
    <xf numFmtId="14" fontId="0" fillId="0" borderId="6" xfId="0" applyNumberFormat="1" applyBorder="1" applyAlignment="1">
      <alignment horizontal="center" vertical="center" wrapText="1"/>
    </xf>
    <xf numFmtId="0" fontId="13" fillId="0" borderId="3" xfId="0" applyFont="1" applyBorder="1" applyAlignment="1">
      <alignment horizontal="center" vertical="center" wrapText="1"/>
    </xf>
    <xf numFmtId="164" fontId="9" fillId="0" borderId="0" xfId="0" applyNumberFormat="1" applyFont="1" applyAlignment="1">
      <alignment vertical="center"/>
    </xf>
    <xf numFmtId="0" fontId="9" fillId="0" borderId="0" xfId="0" applyFont="1" applyAlignment="1">
      <alignment vertical="center"/>
    </xf>
    <xf numFmtId="14" fontId="9" fillId="0" borderId="6" xfId="1" applyNumberFormat="1" applyFont="1" applyFill="1" applyBorder="1" applyAlignment="1">
      <alignment horizontal="center" vertical="center"/>
    </xf>
    <xf numFmtId="0" fontId="9" fillId="0" borderId="5" xfId="1" applyFont="1" applyFill="1" applyBorder="1" applyAlignment="1">
      <alignment horizontal="center" vertical="center" wrapText="1"/>
    </xf>
    <xf numFmtId="41" fontId="9" fillId="0" borderId="5" xfId="1" applyNumberFormat="1" applyFont="1" applyFill="1" applyBorder="1" applyAlignment="1">
      <alignment horizontal="center" vertical="center"/>
    </xf>
    <xf numFmtId="0" fontId="9" fillId="0" borderId="5" xfId="1" applyNumberFormat="1" applyFont="1" applyFill="1" applyBorder="1" applyAlignment="1">
      <alignment horizontal="center" vertical="center"/>
    </xf>
    <xf numFmtId="0" fontId="9" fillId="0" borderId="0" xfId="0" applyFont="1" applyAlignment="1">
      <alignment horizontal="center" vertical="center" wrapText="1"/>
    </xf>
    <xf numFmtId="14" fontId="9" fillId="0" borderId="6" xfId="1" applyNumberFormat="1" applyFont="1" applyFill="1" applyBorder="1" applyAlignment="1">
      <alignment horizontal="center" vertical="center" wrapText="1"/>
    </xf>
    <xf numFmtId="0" fontId="9" fillId="0" borderId="6" xfId="1" applyNumberFormat="1" applyFont="1" applyFill="1" applyBorder="1" applyAlignment="1">
      <alignment horizontal="center" vertical="center"/>
    </xf>
    <xf numFmtId="0" fontId="9" fillId="0" borderId="5" xfId="0" applyFont="1" applyBorder="1" applyAlignment="1">
      <alignment vertical="center" wrapText="1"/>
    </xf>
    <xf numFmtId="41" fontId="9" fillId="0" borderId="6" xfId="0" applyNumberFormat="1" applyFont="1" applyBorder="1" applyAlignment="1">
      <alignment vertical="center"/>
    </xf>
    <xf numFmtId="14" fontId="9" fillId="0" borderId="5" xfId="0" applyNumberFormat="1" applyFont="1" applyBorder="1" applyAlignment="1">
      <alignment vertical="center" wrapText="1"/>
    </xf>
    <xf numFmtId="14" fontId="9" fillId="0" borderId="5" xfId="0" applyNumberFormat="1" applyFont="1" applyBorder="1" applyAlignment="1">
      <alignment horizontal="center" vertical="center"/>
    </xf>
    <xf numFmtId="0" fontId="9" fillId="0" borderId="5" xfId="0" applyFont="1" applyBorder="1" applyAlignment="1">
      <alignment horizontal="center" vertical="center"/>
    </xf>
    <xf numFmtId="0" fontId="9" fillId="0" borderId="6" xfId="0" applyFont="1" applyBorder="1" applyAlignment="1">
      <alignment horizontal="center" vertical="center"/>
    </xf>
    <xf numFmtId="165" fontId="9" fillId="0" borderId="5" xfId="0" applyNumberFormat="1" applyFont="1" applyBorder="1" applyAlignment="1">
      <alignment vertical="center"/>
    </xf>
    <xf numFmtId="0" fontId="9" fillId="0" borderId="5" xfId="0" applyFont="1" applyBorder="1" applyAlignment="1">
      <alignment vertical="center"/>
    </xf>
    <xf numFmtId="0" fontId="9" fillId="0" borderId="6" xfId="0" applyFont="1" applyBorder="1" applyAlignment="1">
      <alignment vertical="center"/>
    </xf>
    <xf numFmtId="165" fontId="9" fillId="0" borderId="6" xfId="0" applyNumberFormat="1" applyFont="1" applyBorder="1" applyAlignment="1">
      <alignment vertical="center"/>
    </xf>
    <xf numFmtId="164" fontId="9" fillId="0" borderId="5" xfId="0" applyNumberFormat="1" applyFont="1" applyBorder="1" applyAlignment="1">
      <alignment vertical="center" wrapText="1"/>
    </xf>
    <xf numFmtId="41" fontId="9" fillId="0" borderId="5" xfId="0" applyNumberFormat="1" applyFont="1" applyBorder="1" applyAlignment="1">
      <alignment vertical="center"/>
    </xf>
    <xf numFmtId="0" fontId="9" fillId="0" borderId="0" xfId="0" applyFont="1" applyAlignment="1">
      <alignment vertical="center" wrapText="1"/>
    </xf>
    <xf numFmtId="6" fontId="9" fillId="0" borderId="5" xfId="0" applyNumberFormat="1" applyFont="1" applyBorder="1" applyAlignment="1">
      <alignment vertical="center"/>
    </xf>
    <xf numFmtId="0" fontId="13" fillId="0" borderId="0" xfId="0" applyFont="1" applyAlignment="1">
      <alignment horizontal="center" vertical="center" wrapText="1"/>
    </xf>
    <xf numFmtId="0" fontId="17" fillId="0" borderId="5" xfId="1" applyFont="1" applyFill="1" applyBorder="1" applyAlignment="1">
      <alignment vertical="center" wrapText="1"/>
    </xf>
    <xf numFmtId="164" fontId="9" fillId="0" borderId="6" xfId="1" applyNumberFormat="1" applyFont="1" applyFill="1" applyBorder="1" applyAlignment="1">
      <alignment horizontal="center" vertical="center"/>
    </xf>
    <xf numFmtId="164" fontId="9" fillId="0" borderId="5" xfId="1" applyNumberFormat="1" applyFont="1" applyFill="1" applyBorder="1" applyAlignment="1">
      <alignment horizontal="center" vertical="center"/>
    </xf>
    <xf numFmtId="0" fontId="20" fillId="0" borderId="0" xfId="0" applyFont="1" applyAlignment="1">
      <alignment vertical="center"/>
    </xf>
    <xf numFmtId="0" fontId="0" fillId="0" borderId="0" xfId="0" applyAlignment="1">
      <alignment vertical="top" wrapText="1"/>
    </xf>
    <xf numFmtId="0" fontId="0" fillId="0" borderId="0" xfId="0" applyAlignment="1">
      <alignment wrapText="1"/>
    </xf>
    <xf numFmtId="0" fontId="19" fillId="0" borderId="5" xfId="0" applyFont="1" applyBorder="1" applyAlignment="1">
      <alignment vertical="top" wrapText="1"/>
    </xf>
    <xf numFmtId="0" fontId="19" fillId="5" borderId="5" xfId="0" applyFont="1" applyFill="1" applyBorder="1" applyAlignment="1">
      <alignment horizontal="right" vertical="top" wrapText="1"/>
    </xf>
    <xf numFmtId="0" fontId="0" fillId="5" borderId="5" xfId="0" applyFill="1" applyBorder="1" applyAlignment="1">
      <alignment vertical="top" wrapText="1"/>
    </xf>
    <xf numFmtId="0" fontId="19" fillId="0" borderId="5" xfId="0" applyFont="1" applyBorder="1" applyAlignment="1">
      <alignment horizontal="right" vertical="top" wrapText="1"/>
    </xf>
    <xf numFmtId="0" fontId="0" fillId="0" borderId="5" xfId="0" applyBorder="1" applyAlignment="1">
      <alignment vertical="top" wrapText="1"/>
    </xf>
    <xf numFmtId="0" fontId="21" fillId="5" borderId="5" xfId="0" applyFont="1" applyFill="1" applyBorder="1" applyAlignment="1">
      <alignment wrapText="1"/>
    </xf>
    <xf numFmtId="168" fontId="0" fillId="0" borderId="0" xfId="3" applyNumberFormat="1" applyFont="1" applyAlignment="1">
      <alignment horizontal="center"/>
    </xf>
    <xf numFmtId="168" fontId="19" fillId="0" borderId="5" xfId="3" applyNumberFormat="1" applyFont="1" applyBorder="1" applyAlignment="1">
      <alignment horizontal="center" wrapText="1"/>
    </xf>
    <xf numFmtId="168" fontId="0" fillId="5" borderId="5" xfId="3" applyNumberFormat="1" applyFont="1" applyFill="1" applyBorder="1" applyAlignment="1">
      <alignment horizontal="center" wrapText="1"/>
    </xf>
    <xf numFmtId="168" fontId="0" fillId="0" borderId="5" xfId="3" applyNumberFormat="1" applyFont="1" applyBorder="1" applyAlignment="1">
      <alignment horizontal="center" wrapText="1"/>
    </xf>
    <xf numFmtId="41" fontId="9" fillId="0" borderId="0" xfId="0" applyNumberFormat="1" applyFont="1" applyAlignment="1">
      <alignment vertical="center"/>
    </xf>
    <xf numFmtId="0" fontId="9" fillId="0" borderId="0" xfId="0" applyFont="1" applyAlignment="1">
      <alignment horizontal="center" vertical="center"/>
    </xf>
    <xf numFmtId="14" fontId="9" fillId="0" borderId="0" xfId="0" applyNumberFormat="1" applyFont="1" applyAlignment="1">
      <alignment horizontal="center" vertical="center"/>
    </xf>
    <xf numFmtId="165" fontId="9" fillId="0" borderId="0" xfId="0" applyNumberFormat="1" applyFont="1" applyAlignment="1">
      <alignment vertical="center"/>
    </xf>
    <xf numFmtId="164" fontId="9" fillId="0" borderId="0" xfId="0" applyNumberFormat="1" applyFont="1" applyAlignment="1">
      <alignment horizontal="center" vertical="center" wrapText="1"/>
    </xf>
    <xf numFmtId="14" fontId="9" fillId="0" borderId="6" xfId="0" applyNumberFormat="1" applyFont="1" applyBorder="1" applyAlignment="1">
      <alignment vertical="center" wrapText="1"/>
    </xf>
    <xf numFmtId="14" fontId="9" fillId="0" borderId="6" xfId="0" applyNumberFormat="1" applyFont="1" applyBorder="1" applyAlignment="1">
      <alignment horizontal="center" vertical="center"/>
    </xf>
    <xf numFmtId="164" fontId="9" fillId="0" borderId="6" xfId="0" applyNumberFormat="1" applyFont="1" applyBorder="1" applyAlignment="1">
      <alignment vertical="center" wrapText="1"/>
    </xf>
    <xf numFmtId="0" fontId="14" fillId="0" borderId="5" xfId="1" applyFont="1" applyFill="1" applyBorder="1" applyAlignment="1">
      <alignment horizontal="center" vertical="center"/>
    </xf>
    <xf numFmtId="164" fontId="13" fillId="0" borderId="0" xfId="0" applyNumberFormat="1" applyFont="1" applyAlignment="1">
      <alignment vertical="center"/>
    </xf>
    <xf numFmtId="0" fontId="13" fillId="0" borderId="0" xfId="0" applyFont="1" applyAlignment="1">
      <alignment vertical="center"/>
    </xf>
    <xf numFmtId="14" fontId="14" fillId="0" borderId="5" xfId="1" applyNumberFormat="1" applyFont="1" applyFill="1" applyBorder="1" applyAlignment="1">
      <alignment vertical="center" wrapText="1"/>
    </xf>
    <xf numFmtId="0" fontId="13" fillId="0" borderId="0" xfId="0" applyFont="1" applyAlignment="1">
      <alignment vertical="center" wrapText="1"/>
    </xf>
    <xf numFmtId="41" fontId="13" fillId="0" borderId="0" xfId="0" applyNumberFormat="1" applyFont="1" applyAlignment="1">
      <alignment vertical="center"/>
    </xf>
    <xf numFmtId="0" fontId="13" fillId="0" borderId="0" xfId="0" applyFont="1" applyAlignment="1">
      <alignment horizontal="left" vertical="center" wrapText="1"/>
    </xf>
    <xf numFmtId="0" fontId="13" fillId="0" borderId="0" xfId="0" applyFont="1"/>
    <xf numFmtId="0" fontId="13" fillId="0" borderId="0" xfId="0" applyFont="1" applyAlignment="1">
      <alignment horizontal="center" vertical="center"/>
    </xf>
    <xf numFmtId="14" fontId="13" fillId="0" borderId="0" xfId="0" applyNumberFormat="1" applyFont="1" applyAlignment="1">
      <alignment horizontal="center" vertical="center"/>
    </xf>
    <xf numFmtId="165" fontId="13" fillId="0" borderId="0" xfId="0" applyNumberFormat="1" applyFont="1" applyAlignment="1">
      <alignment vertical="center"/>
    </xf>
    <xf numFmtId="165" fontId="13" fillId="0" borderId="0" xfId="0" applyNumberFormat="1" applyFont="1" applyAlignment="1">
      <alignment horizontal="center" vertical="center"/>
    </xf>
    <xf numFmtId="0" fontId="9" fillId="0" borderId="0" xfId="0" applyFont="1"/>
    <xf numFmtId="165" fontId="9" fillId="0" borderId="0" xfId="0" applyNumberFormat="1" applyFont="1" applyAlignment="1">
      <alignment horizontal="center" vertical="center"/>
    </xf>
    <xf numFmtId="0" fontId="9" fillId="0" borderId="5" xfId="0" applyFont="1" applyBorder="1" applyAlignment="1">
      <alignment wrapText="1"/>
    </xf>
    <xf numFmtId="0" fontId="7" fillId="0" borderId="5" xfId="1" applyFill="1" applyBorder="1" applyAlignment="1">
      <alignment horizontal="center" vertical="center"/>
    </xf>
    <xf numFmtId="0" fontId="6" fillId="0" borderId="1" xfId="0" applyFont="1" applyBorder="1" applyAlignment="1">
      <alignment horizontal="center" wrapText="1"/>
    </xf>
    <xf numFmtId="0" fontId="6" fillId="0" borderId="0" xfId="0" applyFont="1" applyAlignment="1">
      <alignment wrapText="1"/>
    </xf>
    <xf numFmtId="0" fontId="6" fillId="0" borderId="1" xfId="0" applyFont="1" applyBorder="1" applyAlignment="1">
      <alignment wrapText="1"/>
    </xf>
    <xf numFmtId="0" fontId="6" fillId="0" borderId="1" xfId="0" applyFont="1" applyBorder="1" applyAlignment="1">
      <alignment horizontal="center" vertical="center"/>
    </xf>
    <xf numFmtId="0" fontId="6" fillId="0" borderId="1" xfId="0" applyFont="1" applyBorder="1" applyAlignment="1">
      <alignment vertical="center"/>
    </xf>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44" fontId="0" fillId="0" borderId="0" xfId="3" applyFont="1"/>
    <xf numFmtId="164" fontId="0" fillId="0" borderId="0" xfId="0" applyNumberFormat="1"/>
    <xf numFmtId="0" fontId="0" fillId="0" borderId="6" xfId="0" applyBorder="1" applyAlignment="1">
      <alignment horizontal="left" vertical="center" wrapText="1"/>
    </xf>
    <xf numFmtId="0" fontId="0" fillId="0" borderId="5" xfId="0" applyBorder="1" applyAlignment="1">
      <alignment horizontal="left" vertical="center" wrapText="1"/>
    </xf>
    <xf numFmtId="0" fontId="0" fillId="0" borderId="5" xfId="0" applyBorder="1" applyAlignment="1">
      <alignment horizontal="left" vertical="center"/>
    </xf>
    <xf numFmtId="0" fontId="0" fillId="0" borderId="5" xfId="0" applyBorder="1" applyAlignment="1">
      <alignment horizontal="left"/>
    </xf>
    <xf numFmtId="0" fontId="0" fillId="4" borderId="5" xfId="0" applyFill="1" applyBorder="1" applyAlignment="1">
      <alignment horizontal="left" vertical="center"/>
    </xf>
    <xf numFmtId="0" fontId="9" fillId="0" borderId="5" xfId="0" applyFont="1" applyBorder="1" applyAlignment="1">
      <alignment horizontal="left" vertical="center"/>
    </xf>
    <xf numFmtId="0" fontId="7" fillId="0" borderId="0" xfId="1" applyAlignment="1">
      <alignment vertical="center"/>
    </xf>
    <xf numFmtId="41" fontId="9" fillId="0" borderId="9" xfId="0" applyNumberFormat="1" applyFont="1" applyBorder="1" applyAlignment="1">
      <alignment vertical="center"/>
    </xf>
    <xf numFmtId="0" fontId="9" fillId="0" borderId="9" xfId="1" applyFont="1" applyFill="1" applyBorder="1" applyAlignment="1">
      <alignment horizontal="center" vertical="center" wrapText="1"/>
    </xf>
    <xf numFmtId="0" fontId="9" fillId="0" borderId="9" xfId="1" applyFont="1" applyFill="1" applyBorder="1" applyAlignment="1">
      <alignment horizontal="center" vertical="center"/>
    </xf>
    <xf numFmtId="41" fontId="9" fillId="0" borderId="9" xfId="1" applyNumberFormat="1" applyFont="1" applyFill="1" applyBorder="1" applyAlignment="1">
      <alignment horizontal="center" vertical="center"/>
    </xf>
    <xf numFmtId="164" fontId="9" fillId="0" borderId="9" xfId="1" applyNumberFormat="1" applyFont="1" applyFill="1" applyBorder="1" applyAlignment="1">
      <alignment horizontal="center" vertical="center"/>
    </xf>
    <xf numFmtId="0" fontId="9" fillId="0" borderId="9" xfId="1" applyNumberFormat="1" applyFont="1" applyFill="1" applyBorder="1" applyAlignment="1">
      <alignment horizontal="center" vertical="center"/>
    </xf>
    <xf numFmtId="0" fontId="22" fillId="0" borderId="0" xfId="0" applyFont="1" applyAlignment="1">
      <alignment vertical="top" wrapText="1"/>
    </xf>
    <xf numFmtId="14" fontId="17" fillId="0" borderId="6" xfId="1" applyNumberFormat="1" applyFont="1" applyFill="1" applyBorder="1" applyAlignment="1">
      <alignment vertical="top" wrapText="1"/>
    </xf>
    <xf numFmtId="0" fontId="7" fillId="0" borderId="5" xfId="1" applyFill="1" applyBorder="1" applyAlignment="1">
      <alignment vertical="top" wrapText="1"/>
    </xf>
    <xf numFmtId="0" fontId="17" fillId="0" borderId="5" xfId="1" applyFont="1" applyFill="1" applyBorder="1" applyAlignment="1">
      <alignment vertical="top" wrapText="1"/>
    </xf>
    <xf numFmtId="0" fontId="22" fillId="0" borderId="5" xfId="1" applyFont="1" applyFill="1" applyBorder="1" applyAlignment="1">
      <alignment vertical="top" wrapText="1"/>
    </xf>
    <xf numFmtId="0" fontId="17" fillId="0" borderId="5" xfId="1" applyFont="1" applyFill="1" applyBorder="1" applyAlignment="1">
      <alignment vertical="top"/>
    </xf>
    <xf numFmtId="0" fontId="7" fillId="0" borderId="5" xfId="1" applyFill="1" applyBorder="1" applyAlignment="1">
      <alignment horizontal="left" vertical="top" wrapText="1"/>
    </xf>
    <xf numFmtId="0" fontId="9" fillId="0" borderId="5" xfId="0" applyFont="1" applyBorder="1" applyAlignment="1">
      <alignment vertical="top" wrapText="1"/>
    </xf>
    <xf numFmtId="0" fontId="8" fillId="0" borderId="5" xfId="1" applyFont="1" applyFill="1" applyBorder="1" applyAlignment="1">
      <alignment vertical="top" wrapText="1"/>
    </xf>
    <xf numFmtId="0" fontId="9" fillId="0" borderId="5" xfId="1" applyFont="1" applyFill="1" applyBorder="1" applyAlignment="1">
      <alignment vertical="top" wrapText="1"/>
    </xf>
    <xf numFmtId="0" fontId="7" fillId="0" borderId="0" xfId="1" applyFill="1" applyAlignment="1">
      <alignment vertical="top" wrapText="1"/>
    </xf>
    <xf numFmtId="0" fontId="22" fillId="0" borderId="9" xfId="1" applyFont="1" applyFill="1" applyBorder="1" applyAlignment="1">
      <alignment vertical="top" wrapText="1"/>
    </xf>
    <xf numFmtId="0" fontId="7" fillId="0" borderId="9" xfId="1" applyFill="1" applyBorder="1" applyAlignment="1">
      <alignment vertical="top" wrapText="1"/>
    </xf>
    <xf numFmtId="0" fontId="23" fillId="0" borderId="0" xfId="0" applyFont="1" applyAlignment="1">
      <alignment vertical="top" wrapText="1"/>
    </xf>
    <xf numFmtId="0" fontId="9" fillId="0" borderId="5" xfId="0" applyFont="1" applyBorder="1" applyAlignment="1">
      <alignment horizontal="left" vertical="top" wrapText="1"/>
    </xf>
    <xf numFmtId="0" fontId="9" fillId="0" borderId="0" xfId="0" applyFont="1" applyAlignment="1">
      <alignment vertical="top" wrapText="1"/>
    </xf>
    <xf numFmtId="0" fontId="9" fillId="0" borderId="9" xfId="0" applyFont="1" applyBorder="1" applyAlignment="1">
      <alignment vertical="top" wrapText="1"/>
    </xf>
    <xf numFmtId="0" fontId="13" fillId="0" borderId="0" xfId="0" applyFont="1" applyAlignment="1">
      <alignment vertical="top" wrapText="1"/>
    </xf>
    <xf numFmtId="0" fontId="24" fillId="0" borderId="2" xfId="0" applyFont="1" applyBorder="1" applyAlignment="1">
      <alignment horizontal="center" vertical="top" wrapText="1"/>
    </xf>
    <xf numFmtId="41" fontId="24" fillId="0" borderId="3" xfId="0" applyNumberFormat="1" applyFont="1" applyBorder="1" applyAlignment="1">
      <alignment horizontal="center" vertical="top" wrapText="1"/>
    </xf>
    <xf numFmtId="0" fontId="24" fillId="0" borderId="3" xfId="0" applyFont="1" applyBorder="1" applyAlignment="1">
      <alignment horizontal="center" vertical="top" wrapText="1"/>
    </xf>
    <xf numFmtId="164" fontId="24" fillId="0" borderId="3" xfId="0" applyNumberFormat="1" applyFont="1" applyBorder="1" applyAlignment="1">
      <alignment horizontal="center" vertical="top" wrapText="1"/>
    </xf>
    <xf numFmtId="14" fontId="24" fillId="0" borderId="3" xfId="0" applyNumberFormat="1" applyFont="1" applyBorder="1" applyAlignment="1">
      <alignment horizontal="center" vertical="top" wrapText="1"/>
    </xf>
    <xf numFmtId="165" fontId="24" fillId="0" borderId="3" xfId="0" applyNumberFormat="1" applyFont="1" applyBorder="1" applyAlignment="1">
      <alignment horizontal="center" vertical="top" wrapText="1"/>
    </xf>
    <xf numFmtId="164" fontId="24" fillId="0" borderId="4" xfId="0" applyNumberFormat="1" applyFont="1" applyBorder="1" applyAlignment="1">
      <alignment horizontal="center" vertical="top" wrapText="1"/>
    </xf>
    <xf numFmtId="0" fontId="24" fillId="0" borderId="0" xfId="0" applyFont="1" applyAlignment="1">
      <alignment horizontal="center" vertical="top" wrapText="1"/>
    </xf>
    <xf numFmtId="0" fontId="0" fillId="0" borderId="0" xfId="0" applyAlignment="1">
      <alignment horizontal="left" vertical="center"/>
    </xf>
    <xf numFmtId="164" fontId="6" fillId="0" borderId="0" xfId="0" applyNumberFormat="1" applyFont="1" applyAlignment="1">
      <alignment horizontal="center" vertical="center"/>
    </xf>
    <xf numFmtId="0" fontId="6" fillId="0" borderId="11" xfId="0" applyFont="1" applyBorder="1" applyAlignment="1">
      <alignment horizontal="left" vertical="center" wrapText="1"/>
    </xf>
    <xf numFmtId="0" fontId="0" fillId="0" borderId="12" xfId="0" applyBorder="1" applyAlignment="1">
      <alignment vertical="center" wrapText="1"/>
    </xf>
    <xf numFmtId="164" fontId="0" fillId="0" borderId="12" xfId="0" applyNumberFormat="1" applyBorder="1" applyAlignment="1">
      <alignment horizontal="center" vertical="center"/>
    </xf>
    <xf numFmtId="14" fontId="0" fillId="0" borderId="12" xfId="0" applyNumberFormat="1" applyBorder="1" applyAlignment="1">
      <alignment horizontal="center" vertical="center"/>
    </xf>
    <xf numFmtId="0" fontId="0" fillId="0" borderId="13" xfId="0" applyBorder="1" applyAlignment="1">
      <alignment vertical="center" wrapText="1"/>
    </xf>
    <xf numFmtId="0" fontId="6" fillId="0" borderId="14" xfId="0" applyFont="1" applyBorder="1" applyAlignment="1">
      <alignment horizontal="left" vertical="center" wrapText="1"/>
    </xf>
    <xf numFmtId="0" fontId="0" fillId="0" borderId="15" xfId="0" applyBorder="1" applyAlignment="1">
      <alignment vertical="center" wrapText="1"/>
    </xf>
    <xf numFmtId="0" fontId="0" fillId="4" borderId="15" xfId="0" applyFill="1" applyBorder="1" applyAlignment="1">
      <alignment vertical="center" wrapText="1"/>
    </xf>
    <xf numFmtId="0" fontId="0" fillId="0" borderId="17" xfId="0" applyBorder="1" applyAlignment="1">
      <alignment vertical="center" wrapText="1"/>
    </xf>
    <xf numFmtId="0" fontId="0" fillId="0" borderId="17" xfId="0" applyBorder="1" applyAlignment="1">
      <alignment horizontal="left" vertical="center"/>
    </xf>
    <xf numFmtId="164" fontId="0" fillId="0" borderId="17" xfId="0" applyNumberFormat="1" applyBorder="1" applyAlignment="1">
      <alignment horizontal="center" vertical="center"/>
    </xf>
    <xf numFmtId="164" fontId="0" fillId="0" borderId="17" xfId="0" applyNumberFormat="1" applyBorder="1" applyAlignment="1">
      <alignment vertical="center"/>
    </xf>
    <xf numFmtId="14" fontId="0" fillId="0" borderId="17" xfId="0" applyNumberFormat="1" applyBorder="1" applyAlignment="1">
      <alignment horizontal="center" vertical="center"/>
    </xf>
    <xf numFmtId="0" fontId="0" fillId="0" borderId="18" xfId="0" applyBorder="1" applyAlignment="1">
      <alignment vertical="center" wrapText="1"/>
    </xf>
    <xf numFmtId="0" fontId="0" fillId="0" borderId="12" xfId="0" applyBorder="1" applyAlignment="1">
      <alignment horizontal="left" vertical="center" wrapText="1"/>
    </xf>
    <xf numFmtId="164" fontId="0" fillId="0" borderId="12" xfId="0" applyNumberFormat="1" applyBorder="1" applyAlignment="1">
      <alignment horizontal="center" vertical="center" wrapText="1"/>
    </xf>
    <xf numFmtId="14" fontId="0" fillId="0" borderId="12" xfId="0" applyNumberFormat="1" applyBorder="1" applyAlignment="1">
      <alignment horizontal="center" vertical="center" wrapText="1"/>
    </xf>
    <xf numFmtId="164" fontId="0" fillId="0" borderId="13" xfId="0" applyNumberFormat="1" applyBorder="1" applyAlignment="1">
      <alignment horizontal="center" vertical="center" wrapText="1"/>
    </xf>
    <xf numFmtId="164" fontId="6" fillId="0" borderId="15" xfId="0" applyNumberFormat="1" applyFont="1" applyBorder="1" applyAlignment="1">
      <alignment horizontal="center" vertical="center" wrapText="1"/>
    </xf>
    <xf numFmtId="0" fontId="6" fillId="0" borderId="14" xfId="0" applyFont="1" applyBorder="1" applyAlignment="1">
      <alignment vertical="center" wrapText="1"/>
    </xf>
    <xf numFmtId="164" fontId="0" fillId="0" borderId="17" xfId="0" applyNumberFormat="1" applyBorder="1" applyAlignment="1">
      <alignment horizontal="center" vertical="center" wrapText="1"/>
    </xf>
    <xf numFmtId="0" fontId="6" fillId="0" borderId="19" xfId="0" applyFont="1" applyBorder="1" applyAlignment="1">
      <alignment horizontal="left" vertical="center" wrapText="1"/>
    </xf>
    <xf numFmtId="164" fontId="0" fillId="0" borderId="20" xfId="0" applyNumberFormat="1" applyBorder="1" applyAlignment="1">
      <alignment horizontal="center" vertical="center" wrapText="1"/>
    </xf>
    <xf numFmtId="0" fontId="0" fillId="0" borderId="12" xfId="0" applyBorder="1" applyAlignment="1">
      <alignment horizontal="left" vertical="center"/>
    </xf>
    <xf numFmtId="0" fontId="6" fillId="0" borderId="16" xfId="0" applyFont="1" applyBorder="1" applyAlignment="1">
      <alignment vertical="center" wrapText="1"/>
    </xf>
    <xf numFmtId="0" fontId="6" fillId="4" borderId="14" xfId="0" applyFont="1" applyFill="1" applyBorder="1" applyAlignment="1">
      <alignment vertical="center" wrapText="1"/>
    </xf>
    <xf numFmtId="14" fontId="22" fillId="0" borderId="5" xfId="1" applyNumberFormat="1" applyFont="1" applyFill="1" applyBorder="1" applyAlignment="1">
      <alignment vertical="top" wrapText="1"/>
    </xf>
    <xf numFmtId="14" fontId="9" fillId="0" borderId="5" xfId="1" applyNumberFormat="1" applyFont="1" applyFill="1" applyBorder="1" applyAlignment="1">
      <alignment horizontal="center" vertical="center" wrapText="1"/>
    </xf>
    <xf numFmtId="14" fontId="9" fillId="0" borderId="5" xfId="1" applyNumberFormat="1" applyFont="1" applyFill="1" applyBorder="1" applyAlignment="1">
      <alignment horizontal="center" vertical="center"/>
    </xf>
    <xf numFmtId="0" fontId="7" fillId="0" borderId="5" xfId="1" applyFill="1" applyBorder="1" applyAlignment="1">
      <alignment vertical="center" wrapText="1"/>
    </xf>
    <xf numFmtId="0" fontId="0" fillId="0" borderId="5" xfId="0" applyBorder="1" applyAlignment="1">
      <alignment vertical="center"/>
    </xf>
    <xf numFmtId="0" fontId="0" fillId="0" borderId="5" xfId="0" applyBorder="1" applyAlignment="1">
      <alignment wrapText="1"/>
    </xf>
    <xf numFmtId="0" fontId="0" fillId="0" borderId="5" xfId="0" applyBorder="1"/>
    <xf numFmtId="0" fontId="25" fillId="0" borderId="0" xfId="0" applyFont="1"/>
    <xf numFmtId="0" fontId="0" fillId="7" borderId="0" xfId="0" applyFill="1"/>
    <xf numFmtId="0" fontId="0" fillId="6" borderId="0" xfId="0" applyFill="1"/>
    <xf numFmtId="0" fontId="0" fillId="8" borderId="0" xfId="0" applyFill="1"/>
    <xf numFmtId="14" fontId="9" fillId="0" borderId="5" xfId="1" applyNumberFormat="1" applyFont="1" applyFill="1" applyBorder="1" applyAlignment="1">
      <alignment vertical="center" wrapText="1"/>
    </xf>
    <xf numFmtId="41" fontId="9" fillId="0" borderId="0" xfId="0" applyNumberFormat="1" applyFont="1" applyAlignment="1">
      <alignment vertical="center" wrapText="1"/>
    </xf>
    <xf numFmtId="41" fontId="9" fillId="0" borderId="6" xfId="0" applyNumberFormat="1" applyFont="1" applyBorder="1" applyAlignment="1">
      <alignment vertical="center" wrapText="1"/>
    </xf>
    <xf numFmtId="41" fontId="9" fillId="0" borderId="5" xfId="0" applyNumberFormat="1" applyFont="1" applyBorder="1" applyAlignment="1">
      <alignment vertical="center" wrapText="1"/>
    </xf>
    <xf numFmtId="41" fontId="9" fillId="0" borderId="9" xfId="0" applyNumberFormat="1" applyFont="1" applyBorder="1" applyAlignment="1">
      <alignment vertical="center" wrapText="1"/>
    </xf>
    <xf numFmtId="41" fontId="13" fillId="0" borderId="0" xfId="0" applyNumberFormat="1" applyFont="1" applyAlignment="1">
      <alignment vertical="center" wrapText="1"/>
    </xf>
    <xf numFmtId="0" fontId="13" fillId="0" borderId="5" xfId="0" applyFont="1" applyBorder="1" applyAlignment="1">
      <alignment vertical="top" wrapText="1"/>
    </xf>
    <xf numFmtId="14" fontId="13" fillId="0" borderId="5" xfId="0" applyNumberFormat="1" applyFont="1" applyBorder="1" applyAlignment="1">
      <alignment vertical="center" wrapText="1"/>
    </xf>
    <xf numFmtId="0" fontId="26" fillId="0" borderId="5" xfId="1" applyFont="1" applyFill="1" applyBorder="1" applyAlignment="1">
      <alignment vertical="top" wrapText="1"/>
    </xf>
    <xf numFmtId="0" fontId="13" fillId="0" borderId="5" xfId="1" applyFont="1" applyFill="1" applyBorder="1" applyAlignment="1">
      <alignment horizontal="center" vertical="center" wrapText="1"/>
    </xf>
    <xf numFmtId="0" fontId="13" fillId="0" borderId="5" xfId="1" applyFont="1" applyFill="1" applyBorder="1" applyAlignment="1">
      <alignment horizontal="center" vertical="center"/>
    </xf>
    <xf numFmtId="14" fontId="13" fillId="0" borderId="5" xfId="0" applyNumberFormat="1" applyFont="1" applyBorder="1" applyAlignment="1">
      <alignment horizontal="center" vertical="center" wrapText="1"/>
    </xf>
    <xf numFmtId="0" fontId="13" fillId="0" borderId="5" xfId="0" applyFont="1" applyBorder="1" applyAlignment="1">
      <alignment horizontal="center" vertical="center"/>
    </xf>
    <xf numFmtId="14" fontId="13" fillId="0" borderId="5" xfId="0" applyNumberFormat="1" applyFont="1" applyBorder="1" applyAlignment="1">
      <alignment horizontal="center" vertical="center"/>
    </xf>
    <xf numFmtId="0" fontId="13" fillId="0" borderId="6" xfId="0" applyFont="1" applyBorder="1" applyAlignment="1">
      <alignment horizontal="center" vertical="center"/>
    </xf>
    <xf numFmtId="164" fontId="13" fillId="0" borderId="5" xfId="0" applyNumberFormat="1" applyFont="1" applyBorder="1" applyAlignment="1">
      <alignment vertical="center" wrapText="1"/>
    </xf>
    <xf numFmtId="14" fontId="9" fillId="0" borderId="0" xfId="0" applyNumberFormat="1" applyFont="1" applyAlignment="1">
      <alignment vertical="center" wrapText="1"/>
    </xf>
    <xf numFmtId="0" fontId="7" fillId="0" borderId="5" xfId="1" applyFill="1" applyBorder="1" applyAlignment="1">
      <alignment vertical="top"/>
    </xf>
    <xf numFmtId="14" fontId="9" fillId="0" borderId="9" xfId="0" applyNumberFormat="1" applyFont="1" applyBorder="1" applyAlignment="1">
      <alignment vertical="center" wrapText="1"/>
    </xf>
    <xf numFmtId="14" fontId="9" fillId="0" borderId="9" xfId="0" applyNumberFormat="1" applyFont="1" applyBorder="1" applyAlignment="1">
      <alignment horizontal="center" vertical="center"/>
    </xf>
    <xf numFmtId="0" fontId="9" fillId="0" borderId="9" xfId="0" applyFont="1" applyBorder="1" applyAlignment="1">
      <alignment horizontal="center" vertical="center"/>
    </xf>
    <xf numFmtId="0" fontId="9" fillId="0" borderId="10" xfId="0" applyFont="1" applyBorder="1" applyAlignment="1">
      <alignment horizontal="center" vertical="center"/>
    </xf>
    <xf numFmtId="0" fontId="9" fillId="0" borderId="9" xfId="0" applyFont="1" applyBorder="1" applyAlignment="1">
      <alignment vertical="center"/>
    </xf>
    <xf numFmtId="165" fontId="9" fillId="0" borderId="9" xfId="0" applyNumberFormat="1" applyFont="1" applyBorder="1" applyAlignment="1">
      <alignment vertical="center"/>
    </xf>
    <xf numFmtId="165" fontId="9" fillId="0" borderId="10" xfId="0" applyNumberFormat="1" applyFont="1" applyBorder="1" applyAlignment="1">
      <alignment vertical="center"/>
    </xf>
    <xf numFmtId="164" fontId="9" fillId="0" borderId="9" xfId="0" applyNumberFormat="1" applyFont="1" applyBorder="1" applyAlignment="1">
      <alignment vertical="center" wrapText="1"/>
    </xf>
    <xf numFmtId="14" fontId="7" fillId="0" borderId="5" xfId="1" applyNumberFormat="1" applyFill="1" applyBorder="1" applyAlignment="1">
      <alignment vertical="center" wrapText="1"/>
    </xf>
    <xf numFmtId="0" fontId="7" fillId="0" borderId="0" xfId="1" applyFill="1" applyAlignment="1">
      <alignment vertical="top"/>
    </xf>
    <xf numFmtId="16" fontId="9" fillId="0" borderId="5" xfId="0" applyNumberFormat="1" applyFont="1" applyBorder="1" applyAlignment="1">
      <alignment horizontal="center" vertical="center"/>
    </xf>
    <xf numFmtId="0" fontId="22" fillId="0" borderId="5" xfId="0" applyFont="1" applyBorder="1" applyAlignment="1">
      <alignment vertical="top" wrapText="1"/>
    </xf>
    <xf numFmtId="164" fontId="9" fillId="0" borderId="0" xfId="0" applyNumberFormat="1" applyFont="1" applyAlignment="1">
      <alignment vertical="center" wrapText="1"/>
    </xf>
    <xf numFmtId="0" fontId="9" fillId="0" borderId="0" xfId="0" applyFont="1" applyAlignment="1">
      <alignment wrapText="1"/>
    </xf>
    <xf numFmtId="0" fontId="7" fillId="0" borderId="0" xfId="1"/>
    <xf numFmtId="0" fontId="19" fillId="0" borderId="0" xfId="0" applyFont="1" applyAlignment="1">
      <alignment horizontal="center"/>
    </xf>
    <xf numFmtId="0" fontId="9" fillId="0" borderId="0" xfId="1" applyFont="1" applyBorder="1" applyAlignment="1">
      <alignment horizontal="center" vertical="center"/>
    </xf>
    <xf numFmtId="0" fontId="9" fillId="0" borderId="0" xfId="1" applyFont="1" applyBorder="1" applyAlignment="1">
      <alignment horizontal="center" vertical="center" wrapText="1"/>
    </xf>
    <xf numFmtId="0" fontId="27" fillId="0" borderId="0" xfId="4"/>
    <xf numFmtId="0" fontId="27" fillId="0" borderId="0" xfId="4" applyAlignment="1">
      <alignment vertical="top"/>
    </xf>
    <xf numFmtId="0" fontId="7" fillId="0" borderId="0" xfId="1" applyBorder="1" applyAlignment="1">
      <alignment vertical="center"/>
    </xf>
    <xf numFmtId="0" fontId="9" fillId="0" borderId="0" xfId="1" applyFont="1" applyBorder="1" applyAlignment="1">
      <alignment vertical="center" wrapText="1"/>
    </xf>
    <xf numFmtId="0" fontId="9" fillId="0" borderId="0" xfId="1" applyFont="1" applyBorder="1" applyAlignment="1">
      <alignment vertical="center"/>
    </xf>
    <xf numFmtId="0" fontId="9" fillId="10" borderId="0" xfId="1" applyFont="1" applyFill="1" applyBorder="1" applyAlignment="1">
      <alignment horizontal="center" vertical="center"/>
    </xf>
    <xf numFmtId="0" fontId="0" fillId="11" borderId="0" xfId="0" applyFill="1" applyAlignment="1">
      <alignment vertical="center"/>
    </xf>
    <xf numFmtId="0" fontId="9" fillId="10" borderId="0" xfId="1" applyFont="1" applyFill="1" applyBorder="1" applyAlignment="1">
      <alignment vertical="center" wrapText="1"/>
    </xf>
    <xf numFmtId="0" fontId="9" fillId="10" borderId="0" xfId="1" applyFont="1" applyFill="1" applyBorder="1" applyAlignment="1">
      <alignment horizontal="center" vertical="center" wrapText="1"/>
    </xf>
    <xf numFmtId="0" fontId="24" fillId="9" borderId="0" xfId="0" applyFont="1" applyFill="1" applyAlignment="1">
      <alignment vertical="top" wrapText="1"/>
    </xf>
    <xf numFmtId="164" fontId="24" fillId="9" borderId="0" xfId="0" applyNumberFormat="1" applyFont="1" applyFill="1" applyAlignment="1">
      <alignment vertical="top" wrapText="1"/>
    </xf>
    <xf numFmtId="0" fontId="7" fillId="0" borderId="0" xfId="1" applyBorder="1" applyAlignment="1">
      <alignment horizontal="center" vertical="center"/>
    </xf>
    <xf numFmtId="0" fontId="7" fillId="0" borderId="0" xfId="1" applyBorder="1" applyAlignment="1">
      <alignment vertical="center" wrapText="1"/>
    </xf>
    <xf numFmtId="0" fontId="7" fillId="0" borderId="0" xfId="1" applyFill="1"/>
    <xf numFmtId="0" fontId="9" fillId="0" borderId="0" xfId="1" applyFont="1" applyBorder="1" applyAlignment="1">
      <alignment horizontal="left" vertical="center" wrapText="1"/>
    </xf>
    <xf numFmtId="0" fontId="9" fillId="10" borderId="0" xfId="1" applyFont="1" applyFill="1" applyBorder="1" applyAlignment="1">
      <alignment horizontal="left" vertical="center" wrapText="1"/>
    </xf>
    <xf numFmtId="0" fontId="7" fillId="0" borderId="0" xfId="1" applyFill="1" applyBorder="1" applyAlignment="1">
      <alignment vertical="top" wrapText="1"/>
    </xf>
    <xf numFmtId="0" fontId="17" fillId="0" borderId="0" xfId="1" applyFont="1" applyFill="1" applyBorder="1" applyAlignment="1">
      <alignment vertical="top" wrapText="1"/>
    </xf>
    <xf numFmtId="0" fontId="22" fillId="0" borderId="0" xfId="1" applyFont="1" applyFill="1" applyBorder="1" applyAlignment="1">
      <alignment vertical="top" wrapText="1"/>
    </xf>
    <xf numFmtId="0" fontId="24" fillId="0" borderId="22" xfId="0" applyFont="1" applyBorder="1" applyAlignment="1">
      <alignment horizontal="center" vertical="top" wrapText="1"/>
    </xf>
    <xf numFmtId="41" fontId="24" fillId="0" borderId="21" xfId="0" applyNumberFormat="1" applyFont="1" applyBorder="1" applyAlignment="1">
      <alignment horizontal="center" vertical="top" wrapText="1"/>
    </xf>
    <xf numFmtId="0" fontId="24" fillId="0" borderId="21" xfId="0" applyFont="1" applyBorder="1" applyAlignment="1">
      <alignment horizontal="center" vertical="top" wrapText="1"/>
    </xf>
    <xf numFmtId="14" fontId="24" fillId="0" borderId="21" xfId="0" applyNumberFormat="1" applyFont="1" applyBorder="1" applyAlignment="1">
      <alignment horizontal="center" vertical="top" wrapText="1"/>
    </xf>
    <xf numFmtId="165" fontId="24" fillId="0" borderId="21" xfId="0" applyNumberFormat="1" applyFont="1" applyBorder="1" applyAlignment="1">
      <alignment horizontal="center" vertical="top" wrapText="1"/>
    </xf>
    <xf numFmtId="164" fontId="24" fillId="0" borderId="23" xfId="0" applyNumberFormat="1" applyFont="1" applyBorder="1" applyAlignment="1">
      <alignment horizontal="center" vertical="top" wrapText="1"/>
    </xf>
    <xf numFmtId="0" fontId="7" fillId="0" borderId="0" xfId="1" applyFill="1" applyBorder="1" applyAlignment="1">
      <alignment vertical="center" wrapText="1"/>
    </xf>
    <xf numFmtId="0" fontId="17" fillId="0" borderId="0" xfId="1" applyFont="1" applyFill="1" applyBorder="1" applyAlignment="1">
      <alignment vertical="center" wrapText="1"/>
    </xf>
    <xf numFmtId="0" fontId="22" fillId="0" borderId="0" xfId="1" applyFont="1" applyFill="1" applyBorder="1" applyAlignment="1">
      <alignment vertical="center" wrapText="1"/>
    </xf>
    <xf numFmtId="14" fontId="9" fillId="0" borderId="0" xfId="1" applyNumberFormat="1" applyFont="1" applyFill="1" applyBorder="1" applyAlignment="1">
      <alignment horizontal="center" vertical="center"/>
    </xf>
    <xf numFmtId="14" fontId="22" fillId="0" borderId="0" xfId="1" applyNumberFormat="1" applyFont="1" applyFill="1" applyBorder="1" applyAlignment="1">
      <alignment vertical="center" wrapText="1"/>
    </xf>
    <xf numFmtId="14" fontId="9" fillId="0" borderId="0" xfId="1" applyNumberFormat="1" applyFont="1" applyFill="1" applyBorder="1" applyAlignment="1">
      <alignment horizontal="center" vertical="center" wrapText="1"/>
    </xf>
    <xf numFmtId="41" fontId="9" fillId="0" borderId="0" xfId="1" applyNumberFormat="1" applyFont="1" applyFill="1" applyBorder="1" applyAlignment="1">
      <alignment horizontal="center" vertical="center"/>
    </xf>
    <xf numFmtId="164" fontId="9" fillId="0" borderId="0" xfId="1" applyNumberFormat="1" applyFont="1" applyFill="1" applyBorder="1" applyAlignment="1">
      <alignment horizontal="center" vertical="center"/>
    </xf>
    <xf numFmtId="0" fontId="9" fillId="0" borderId="0" xfId="1" applyNumberFormat="1" applyFont="1" applyFill="1" applyBorder="1" applyAlignment="1">
      <alignment horizontal="center" vertical="center"/>
    </xf>
    <xf numFmtId="0" fontId="9" fillId="0" borderId="0" xfId="1" applyFont="1" applyFill="1" applyBorder="1" applyAlignment="1">
      <alignment horizontal="center" vertical="center"/>
    </xf>
    <xf numFmtId="0" fontId="9" fillId="0" borderId="0" xfId="1" applyFont="1" applyFill="1" applyBorder="1" applyAlignment="1">
      <alignment horizontal="center" vertical="center" wrapText="1"/>
    </xf>
    <xf numFmtId="0" fontId="14" fillId="0" borderId="0" xfId="1" applyFont="1" applyFill="1" applyBorder="1" applyAlignment="1">
      <alignment horizontal="center" vertical="center" wrapText="1"/>
    </xf>
    <xf numFmtId="41" fontId="9" fillId="0" borderId="0" xfId="1" applyNumberFormat="1" applyFont="1" applyFill="1" applyBorder="1" applyAlignment="1">
      <alignment vertical="center"/>
    </xf>
    <xf numFmtId="14" fontId="9" fillId="0" borderId="0" xfId="0" applyNumberFormat="1" applyFont="1" applyAlignment="1">
      <alignment horizontal="center" vertical="center" wrapText="1"/>
    </xf>
    <xf numFmtId="0" fontId="7" fillId="0" borderId="0" xfId="1" applyFill="1" applyBorder="1" applyAlignment="1">
      <alignment vertical="center"/>
    </xf>
    <xf numFmtId="0" fontId="7" fillId="0" borderId="0" xfId="1" applyFill="1" applyBorder="1" applyAlignment="1">
      <alignment horizontal="left" vertical="center" wrapText="1"/>
    </xf>
    <xf numFmtId="14" fontId="7" fillId="0" borderId="0" xfId="1" applyNumberFormat="1" applyFill="1" applyBorder="1" applyAlignment="1">
      <alignment vertical="center" wrapText="1"/>
    </xf>
    <xf numFmtId="41" fontId="7" fillId="0" borderId="0" xfId="1" applyNumberFormat="1" applyBorder="1" applyAlignment="1">
      <alignment vertical="center" wrapText="1"/>
    </xf>
    <xf numFmtId="0" fontId="8" fillId="0" borderId="0" xfId="1" applyFont="1" applyFill="1" applyBorder="1" applyAlignment="1">
      <alignment vertical="center" wrapText="1"/>
    </xf>
    <xf numFmtId="41" fontId="7" fillId="0" borderId="0" xfId="1" applyNumberFormat="1" applyFill="1" applyBorder="1" applyAlignment="1">
      <alignment vertical="center"/>
    </xf>
    <xf numFmtId="0" fontId="9" fillId="0" borderId="0" xfId="1" applyFont="1" applyFill="1" applyBorder="1" applyAlignment="1">
      <alignment vertical="center" wrapText="1"/>
    </xf>
    <xf numFmtId="0" fontId="9" fillId="0" borderId="0" xfId="0" applyFont="1" applyAlignment="1">
      <alignment horizontal="left" vertical="top" wrapText="1"/>
    </xf>
    <xf numFmtId="0" fontId="7" fillId="0" borderId="0" xfId="1" applyFill="1" applyBorder="1" applyAlignment="1">
      <alignment horizontal="center" vertical="center" wrapText="1"/>
    </xf>
    <xf numFmtId="14" fontId="9" fillId="0" borderId="0" xfId="1" applyNumberFormat="1" applyFont="1" applyFill="1" applyBorder="1" applyAlignment="1">
      <alignment vertical="center" wrapText="1"/>
    </xf>
    <xf numFmtId="41" fontId="7" fillId="0" borderId="0" xfId="1" applyNumberFormat="1" applyBorder="1" applyAlignment="1">
      <alignment vertical="center"/>
    </xf>
    <xf numFmtId="0" fontId="7" fillId="0" borderId="0" xfId="1" applyBorder="1" applyAlignment="1">
      <alignment wrapText="1"/>
    </xf>
    <xf numFmtId="0" fontId="17" fillId="0" borderId="0" xfId="1" applyFont="1" applyFill="1" applyBorder="1" applyAlignment="1">
      <alignment vertical="top"/>
    </xf>
    <xf numFmtId="0" fontId="7" fillId="0" borderId="0" xfId="1" applyBorder="1"/>
    <xf numFmtId="0" fontId="9" fillId="0" borderId="0" xfId="1" applyFont="1" applyFill="1" applyBorder="1" applyAlignment="1">
      <alignment vertical="top" wrapText="1"/>
    </xf>
    <xf numFmtId="0" fontId="7" fillId="0" borderId="0" xfId="1" applyBorder="1" applyAlignment="1">
      <alignment vertical="top"/>
    </xf>
    <xf numFmtId="6" fontId="9" fillId="0" borderId="0" xfId="0" applyNumberFormat="1" applyFont="1" applyAlignment="1">
      <alignment vertical="center"/>
    </xf>
    <xf numFmtId="164" fontId="13" fillId="0" borderId="0" xfId="0" applyNumberFormat="1" applyFont="1" applyAlignment="1">
      <alignment horizontal="center" vertical="center" wrapText="1"/>
    </xf>
    <xf numFmtId="14" fontId="22" fillId="0" borderId="0" xfId="1" applyNumberFormat="1" applyFont="1" applyFill="1" applyBorder="1" applyAlignment="1">
      <alignment vertical="top" wrapText="1"/>
    </xf>
    <xf numFmtId="0" fontId="9" fillId="0" borderId="0" xfId="1" applyFont="1" applyFill="1" applyAlignment="1">
      <alignment horizontal="center" vertical="center" wrapText="1"/>
    </xf>
    <xf numFmtId="0" fontId="24" fillId="0" borderId="0" xfId="0" applyFont="1" applyAlignment="1">
      <alignment horizontal="left"/>
    </xf>
    <xf numFmtId="0" fontId="7" fillId="0" borderId="0" xfId="1" applyFill="1" applyBorder="1" applyAlignment="1">
      <alignment horizontal="center" vertical="center"/>
    </xf>
    <xf numFmtId="14" fontId="9" fillId="0" borderId="0" xfId="1" applyNumberFormat="1" applyFont="1" applyFill="1" applyBorder="1" applyAlignment="1">
      <alignment vertical="top" wrapText="1"/>
    </xf>
    <xf numFmtId="0" fontId="9" fillId="0" borderId="0" xfId="1" applyFont="1" applyBorder="1" applyAlignment="1">
      <alignment wrapText="1"/>
    </xf>
    <xf numFmtId="0" fontId="9" fillId="0" borderId="0" xfId="1" applyFont="1" applyFill="1" applyBorder="1" applyAlignment="1">
      <alignment vertical="top"/>
    </xf>
    <xf numFmtId="0" fontId="9" fillId="0" borderId="0" xfId="1" applyFont="1" applyBorder="1"/>
    <xf numFmtId="0" fontId="9" fillId="0" borderId="0" xfId="1" applyFont="1" applyFill="1"/>
    <xf numFmtId="0" fontId="9" fillId="0" borderId="0" xfId="1" applyFont="1" applyBorder="1" applyAlignment="1">
      <alignment vertical="top"/>
    </xf>
    <xf numFmtId="0" fontId="9" fillId="0" borderId="0" xfId="1" applyFont="1"/>
    <xf numFmtId="0" fontId="9" fillId="0" borderId="0" xfId="1" applyFont="1" applyAlignment="1">
      <alignment vertical="center"/>
    </xf>
    <xf numFmtId="0" fontId="22" fillId="0" borderId="0" xfId="1" applyFont="1" applyFill="1" applyAlignment="1">
      <alignment vertical="top" wrapText="1"/>
    </xf>
    <xf numFmtId="165" fontId="9" fillId="0" borderId="0" xfId="0" applyNumberFormat="1" applyFont="1" applyAlignment="1">
      <alignment horizontal="center" vertical="center" wrapText="1"/>
    </xf>
    <xf numFmtId="165" fontId="13" fillId="0" borderId="0" xfId="0" applyNumberFormat="1" applyFont="1" applyAlignment="1">
      <alignment horizontal="center" vertical="center" wrapText="1"/>
    </xf>
    <xf numFmtId="14" fontId="9" fillId="0" borderId="0" xfId="1" applyNumberFormat="1" applyFont="1" applyAlignment="1">
      <alignment vertical="center"/>
    </xf>
    <xf numFmtId="14" fontId="9" fillId="0" borderId="0" xfId="1" applyNumberFormat="1" applyFont="1" applyAlignment="1">
      <alignment vertical="center" wrapText="1"/>
    </xf>
    <xf numFmtId="14" fontId="9" fillId="0" borderId="0" xfId="1" applyNumberFormat="1" applyFont="1" applyBorder="1"/>
    <xf numFmtId="14" fontId="0" fillId="0" borderId="0" xfId="0" applyNumberFormat="1" applyAlignment="1">
      <alignment horizontal="left" indent="2"/>
    </xf>
    <xf numFmtId="0" fontId="27" fillId="0" borderId="0" xfId="4" applyBorder="1" applyAlignment="1">
      <alignment vertical="top"/>
    </xf>
    <xf numFmtId="41" fontId="24" fillId="0" borderId="0" xfId="0" applyNumberFormat="1" applyFont="1" applyAlignment="1">
      <alignment horizontal="center" vertical="top" wrapText="1"/>
    </xf>
    <xf numFmtId="0" fontId="24" fillId="0" borderId="0" xfId="0" applyFont="1" applyAlignment="1">
      <alignment horizontal="center" vertical="center" wrapText="1"/>
    </xf>
    <xf numFmtId="164" fontId="24" fillId="0" borderId="0" xfId="0" applyNumberFormat="1" applyFont="1" applyAlignment="1">
      <alignment horizontal="center" vertical="top" wrapText="1"/>
    </xf>
    <xf numFmtId="14" fontId="24" fillId="0" borderId="0" xfId="0" applyNumberFormat="1" applyFont="1" applyAlignment="1">
      <alignment horizontal="center" vertical="top" wrapText="1"/>
    </xf>
    <xf numFmtId="16" fontId="9" fillId="0" borderId="0" xfId="0" applyNumberFormat="1" applyFont="1" applyAlignment="1">
      <alignment horizontal="center" vertical="center"/>
    </xf>
    <xf numFmtId="0" fontId="22" fillId="0" borderId="0" xfId="0" applyFont="1" applyAlignment="1">
      <alignment vertical="center" wrapText="1"/>
    </xf>
    <xf numFmtId="0" fontId="13" fillId="0" borderId="0" xfId="0" applyFont="1" applyAlignment="1">
      <alignment wrapText="1"/>
    </xf>
    <xf numFmtId="0" fontId="28" fillId="0" borderId="0" xfId="0" applyFont="1" applyAlignment="1">
      <alignment vertical="center"/>
    </xf>
    <xf numFmtId="164" fontId="28" fillId="0" borderId="0" xfId="0" applyNumberFormat="1" applyFont="1" applyAlignment="1">
      <alignment vertical="center"/>
    </xf>
    <xf numFmtId="0" fontId="28" fillId="0" borderId="0" xfId="0" applyFont="1" applyAlignment="1">
      <alignment vertical="center" wrapText="1"/>
    </xf>
    <xf numFmtId="165" fontId="28" fillId="0" borderId="0" xfId="0" applyNumberFormat="1" applyFont="1" applyAlignment="1">
      <alignment horizontal="center" vertical="center"/>
    </xf>
    <xf numFmtId="165" fontId="28" fillId="0" borderId="0" xfId="0" applyNumberFormat="1" applyFont="1" applyAlignment="1">
      <alignment vertical="center"/>
    </xf>
    <xf numFmtId="0" fontId="24" fillId="0" borderId="24" xfId="0" applyFont="1" applyBorder="1" applyAlignment="1">
      <alignment horizontal="center" vertical="top" wrapText="1"/>
    </xf>
    <xf numFmtId="0" fontId="29" fillId="0" borderId="25" xfId="5"/>
    <xf numFmtId="0" fontId="30" fillId="0" borderId="0" xfId="0" applyFont="1"/>
    <xf numFmtId="0" fontId="0" fillId="0" borderId="0" xfId="0" applyNumberFormat="1" applyAlignment="1">
      <alignment horizontal="center"/>
    </xf>
    <xf numFmtId="0" fontId="0" fillId="0" borderId="8" xfId="0" applyBorder="1" applyAlignment="1">
      <alignment horizontal="center" vertical="center" wrapText="1"/>
    </xf>
    <xf numFmtId="0" fontId="3" fillId="0" borderId="0" xfId="0" applyFont="1" applyAlignment="1">
      <alignment horizontal="center"/>
    </xf>
    <xf numFmtId="0" fontId="0" fillId="0" borderId="0" xfId="0" applyAlignment="1"/>
    <xf numFmtId="0" fontId="4" fillId="0" borderId="0" xfId="0" applyFont="1" applyAlignment="1">
      <alignment horizontal="center"/>
    </xf>
    <xf numFmtId="0" fontId="5" fillId="0" borderId="0" xfId="0" applyFont="1" applyAlignment="1">
      <alignment horizontal="center"/>
    </xf>
  </cellXfs>
  <cellStyles count="6">
    <cellStyle name="Currency" xfId="3" builtinId="4"/>
    <cellStyle name="Heading 1" xfId="5" builtinId="16"/>
    <cellStyle name="Hyperlink" xfId="1" builtinId="8"/>
    <cellStyle name="Normal" xfId="0" builtinId="0"/>
    <cellStyle name="Normal 2" xfId="2"/>
    <cellStyle name="Title" xfId="4" builtinId="15"/>
  </cellStyles>
  <dxfs count="189">
    <dxf>
      <numFmt numFmtId="164" formatCode="&quot;$&quot;#,##0.00"/>
    </dxf>
    <dxf>
      <numFmt numFmtId="164" formatCode="&quot;$&quot;#,##0.00"/>
    </dxf>
    <dxf>
      <alignment horizontal="center"/>
    </dxf>
    <dxf>
      <alignment horizontal="center"/>
    </dxf>
    <dxf>
      <alignment horizontal="center"/>
    </dxf>
    <dxf>
      <alignment horizontal="center"/>
    </dxf>
    <dxf>
      <numFmt numFmtId="19" formatCode="m/d/yyyy"/>
    </dxf>
    <dxf>
      <numFmt numFmtId="0" formatCode="General"/>
    </dxf>
    <dxf>
      <numFmt numFmtId="19" formatCode="m/d/yyyy"/>
    </dxf>
    <dxf>
      <numFmt numFmtId="19" formatCode="m/d/yyyy"/>
    </dxf>
    <dxf>
      <numFmt numFmtId="19" formatCode="m/d/yyyy"/>
    </dxf>
    <dxf>
      <numFmt numFmtId="19" formatCode="m/d/yyyy"/>
      <fill>
        <patternFill patternType="solid">
          <fgColor indexed="64"/>
          <bgColor theme="0" tint="-0.249977111117893"/>
        </patternFill>
      </fill>
    </dxf>
    <dxf>
      <fill>
        <patternFill patternType="solid">
          <fgColor indexed="64"/>
          <bgColor theme="0" tint="-0.249977111117893"/>
        </patternFill>
      </fill>
      <alignment vertical="bottom" textRotation="0" wrapText="0" indent="0" justifyLastLine="0" shrinkToFit="0" readingOrder="0"/>
    </dxf>
    <dxf>
      <alignment vertical="bottom" textRotation="0" wrapText="0" indent="0" justifyLastLine="0" shrinkToFit="0" readingOrder="0"/>
    </dxf>
    <dxf>
      <fill>
        <patternFill patternType="solid">
          <fgColor indexed="64"/>
          <bgColor theme="0" tint="-0.249977111117893"/>
        </patternFill>
      </fill>
      <alignment vertical="bottom" textRotation="0" wrapText="0" indent="0" justifyLastLine="0" shrinkToFit="0" readingOrder="0"/>
    </dxf>
    <dxf>
      <alignment vertical="bottom" textRotation="0" wrapText="0" indent="0" justifyLastLine="0" shrinkToFit="0" readingOrder="0"/>
    </dxf>
    <dxf>
      <fill>
        <patternFill patternType="solid">
          <fgColor indexed="64"/>
          <bgColor theme="0" tint="-0.249977111117893"/>
        </patternFill>
      </fill>
      <alignment vertical="bottom" textRotation="0" wrapText="0" indent="0" justifyLastLine="0" shrinkToFit="0" readingOrder="0"/>
    </dxf>
    <dxf>
      <alignment vertical="bottom" textRotation="0" wrapText="0" indent="0" justifyLastLine="0" shrinkToFit="0" readingOrder="0"/>
    </dxf>
    <dxf>
      <font>
        <b/>
        <i val="0"/>
        <strike val="0"/>
        <condense val="0"/>
        <extend val="0"/>
        <outline val="0"/>
        <shadow val="0"/>
        <u val="none"/>
        <vertAlign val="baseline"/>
        <sz val="9"/>
        <color indexed="8"/>
        <name val="Arial"/>
        <scheme val="none"/>
      </font>
      <fill>
        <patternFill patternType="none">
          <fgColor indexed="64"/>
          <bgColor indexed="65"/>
        </patternFill>
      </fill>
      <alignment horizontal="center" vertical="bottom" textRotation="0" wrapText="1" indent="0" justifyLastLine="0" shrinkToFit="0" readingOrder="0"/>
    </dxf>
    <dxf>
      <font>
        <color theme="0"/>
      </font>
    </dxf>
    <dxf>
      <font>
        <color theme="0"/>
      </font>
    </dxf>
    <dxf>
      <font>
        <color theme="0"/>
      </font>
    </dxf>
    <dxf>
      <font>
        <color theme="0"/>
      </font>
    </dxf>
    <dxf>
      <font>
        <color theme="0"/>
      </font>
    </dxf>
    <dxf>
      <font>
        <color theme="0"/>
      </font>
    </dxf>
    <dxf>
      <font>
        <color theme="0"/>
      </font>
    </dxf>
    <dxf>
      <numFmt numFmtId="164" formatCode="&quot;$&quot;#,##0.00"/>
    </dxf>
    <dxf>
      <numFmt numFmtId="164" formatCode="&quot;$&quot;#,##0.00"/>
    </dxf>
    <dxf>
      <alignment horizontal="center"/>
    </dxf>
    <dxf>
      <alignment horizontal="center"/>
    </dxf>
    <dxf>
      <alignment horizontal="center"/>
    </dxf>
    <dxf>
      <alignment horizontal="center"/>
    </dxf>
    <dxf>
      <font>
        <strike val="0"/>
        <outline val="0"/>
        <shadow val="0"/>
        <vertAlign val="baseline"/>
        <sz val="11"/>
        <color auto="1"/>
        <name val="Calibri"/>
        <scheme val="minor"/>
      </font>
      <numFmt numFmtId="164" formatCode="&quot;$&quot;#,##0.00"/>
      <fill>
        <patternFill patternType="none">
          <fgColor indexed="64"/>
          <bgColor auto="1"/>
        </patternFill>
      </fill>
      <alignmen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fill>
        <patternFill patternType="none">
          <fgColor indexed="64"/>
          <bgColor auto="1"/>
        </patternFill>
      </fill>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vertAlign val="baseline"/>
        <sz val="11"/>
        <color auto="1"/>
        <name val="Calibri"/>
        <scheme val="minor"/>
      </font>
      <numFmt numFmtId="165" formatCode="&quot;$&quot;#,##0"/>
      <fill>
        <patternFill patternType="none">
          <fgColor indexed="64"/>
          <bgColor auto="1"/>
        </patternFill>
      </fill>
      <alignmen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numFmt numFmtId="165" formatCode="&quot;$&quot;#,##0"/>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auto="1"/>
        <name val="Calibri"/>
        <scheme val="minor"/>
      </font>
      <numFmt numFmtId="165" formatCode="&quot;$&quot;#,##0"/>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auto="1"/>
        <name val="Calibri"/>
        <scheme val="minor"/>
      </font>
      <numFmt numFmtId="165" formatCode="&quot;$&quot;#,##0"/>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auto="1"/>
        <name val="Calibri"/>
        <scheme val="minor"/>
      </font>
      <numFmt numFmtId="165" formatCode="&quot;$&quot;#,##0"/>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auto="1"/>
        <name val="Calibri"/>
        <scheme val="minor"/>
      </font>
      <numFmt numFmtId="165" formatCode="&quot;$&quot;#,##0"/>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strike val="0"/>
        <outline val="0"/>
        <shadow val="0"/>
        <vertAlign val="baseline"/>
        <sz val="11"/>
        <color auto="1"/>
        <name val="Calibri"/>
        <scheme val="minor"/>
      </font>
      <numFmt numFmtId="165" formatCode="&quot;$&quot;#,##0"/>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strike val="0"/>
        <outline val="0"/>
        <shadow val="0"/>
        <vertAlign val="baseline"/>
        <sz val="11"/>
        <color auto="1"/>
        <name val="Calibri"/>
        <scheme val="minor"/>
      </font>
      <numFmt numFmtId="165" formatCode="&quot;$&quot;#,##0"/>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strike val="0"/>
        <outline val="0"/>
        <shadow val="0"/>
        <vertAlign val="baseline"/>
        <sz val="11"/>
        <color auto="1"/>
        <name val="Calibri"/>
        <scheme val="minor"/>
      </font>
      <numFmt numFmtId="165" formatCode="&quot;$&quot;#,##0"/>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strike val="0"/>
        <outline val="0"/>
        <shadow val="0"/>
        <vertAlign val="baseline"/>
        <sz val="11"/>
        <color auto="1"/>
        <name val="Calibri"/>
        <scheme val="minor"/>
      </font>
      <numFmt numFmtId="165" formatCode="&quot;$&quot;#,##0"/>
      <fill>
        <patternFill patternType="none">
          <fgColor indexed="64"/>
          <bgColor auto="1"/>
        </patternFill>
      </fill>
      <alignmen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vertAlign val="baseline"/>
        <sz val="11"/>
        <color auto="1"/>
        <name val="Calibri"/>
        <scheme val="minor"/>
      </font>
      <numFmt numFmtId="165" formatCode="&quot;$&quot;#,##0"/>
      <fill>
        <patternFill patternType="none">
          <fgColor indexed="64"/>
          <bgColor auto="1"/>
        </patternFill>
      </fill>
      <alignmen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vertAlign val="baseline"/>
        <sz val="11"/>
        <color auto="1"/>
        <name val="Calibri"/>
        <scheme val="minor"/>
      </font>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vertAlign val="baseline"/>
        <sz val="11"/>
        <color auto="1"/>
        <name val="Calibri"/>
        <scheme val="minor"/>
      </font>
      <fill>
        <patternFill patternType="none">
          <fgColor indexed="64"/>
          <bgColor auto="1"/>
        </patternFill>
      </fill>
      <alignmen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vertAlign val="baseline"/>
        <sz val="11"/>
        <color auto="1"/>
        <name val="Calibri"/>
        <scheme val="minor"/>
      </font>
      <fill>
        <patternFill patternType="none">
          <fgColor indexed="64"/>
          <bgColor auto="1"/>
        </patternFill>
      </fill>
      <alignmen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vertAlign val="baseline"/>
        <sz val="11"/>
        <color auto="1"/>
        <name val="Calibri"/>
        <scheme val="minor"/>
      </font>
      <fill>
        <patternFill patternType="none">
          <fgColor indexed="64"/>
          <bgColor auto="1"/>
        </patternFill>
      </fill>
      <alignmen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vertAlign val="baseline"/>
        <sz val="11"/>
        <color auto="1"/>
        <name val="Calibri"/>
        <scheme val="minor"/>
      </font>
      <fill>
        <patternFill patternType="none">
          <fgColor indexed="64"/>
          <bgColor auto="1"/>
        </patternFill>
      </fill>
      <alignmen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fill>
        <patternFill patternType="none">
          <fgColor indexed="64"/>
          <bgColor auto="1"/>
        </patternFill>
      </fill>
      <alignmen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vertAlign val="baseline"/>
        <sz val="11"/>
        <color auto="1"/>
        <name val="Calibri"/>
        <scheme val="minor"/>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bottom style="thin">
          <color indexed="64"/>
        </bottom>
      </border>
    </dxf>
    <dxf>
      <font>
        <strike val="0"/>
        <outline val="0"/>
        <shadow val="0"/>
        <vertAlign val="baseline"/>
        <sz val="11"/>
        <color auto="1"/>
        <name val="Calibri"/>
        <scheme val="minor"/>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auto="1"/>
        <name val="Calibri"/>
        <scheme val="minor"/>
      </font>
      <numFmt numFmtId="0" formatCode="General"/>
      <fill>
        <patternFill patternType="none">
          <fgColor indexed="64"/>
          <bgColor auto="1"/>
        </patternFill>
      </fill>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numFmt numFmtId="19" formatCode="m/d/yyyy"/>
      <fill>
        <patternFill patternType="none">
          <fgColor indexed="64"/>
          <bgColor auto="1"/>
        </patternFill>
      </fill>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fill>
        <patternFill patternType="none">
          <fgColor indexed="64"/>
          <bgColor auto="1"/>
        </patternFill>
      </fill>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fill>
        <patternFill patternType="none">
          <fgColor indexed="64"/>
          <bgColor auto="1"/>
        </patternFill>
      </fill>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auto="1"/>
        <name val="Calibri"/>
        <scheme val="minor"/>
      </font>
      <numFmt numFmtId="0" formatCode="General"/>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numFmt numFmtId="164" formatCode="&quot;$&quot;#,##0.00"/>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numFmt numFmtId="164" formatCode="&quot;$&quot;#,##0.00"/>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numFmt numFmtId="33" formatCode="_(* #,##0_);_(* \(#,##0\);_(* &quot;-&quot;_);_(@_)"/>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numFmt numFmtId="33" formatCode="_(* #,##0_);_(* \(#,##0\);_(* &quot;-&quot;_);_(@_)"/>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563C1"/>
        <name val="Calibri"/>
        <scheme val="minor"/>
      </font>
      <fill>
        <patternFill patternType="none">
          <fgColor indexed="64"/>
          <bgColor auto="1"/>
        </patternFill>
      </fill>
      <alignmen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numFmt numFmtId="19" formatCode="m/d/yyyy"/>
      <fill>
        <patternFill patternType="none">
          <fgColor indexed="64"/>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vertAlign val="baseline"/>
        <sz val="11"/>
        <color auto="1"/>
        <name val="Calibri"/>
        <scheme val="minor"/>
      </font>
      <numFmt numFmtId="19" formatCode="m/d/yyyy"/>
      <fill>
        <patternFill patternType="none">
          <fgColor indexed="64"/>
          <bgColor auto="1"/>
        </patternFill>
      </fill>
      <alignmen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fill>
        <patternFill patternType="none">
          <fgColor indexed="64"/>
          <bgColor auto="1"/>
        </patternFill>
      </fill>
      <alignmen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vertAlign val="baseline"/>
        <sz val="11"/>
        <color auto="1"/>
        <name val="Calibri"/>
        <scheme val="minor"/>
      </font>
      <numFmt numFmtId="33" formatCode="_(* #,##0_);_(* \(#,##0\);_(* &quot;-&quot;_);_(@_)"/>
      <fill>
        <patternFill patternType="none">
          <fgColor indexed="64"/>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numFmt numFmtId="33" formatCode="_(* #,##0_);_(* \(#,##0\);_(* &quot;-&quot;_);_(@_)"/>
      <fill>
        <patternFill patternType="none">
          <fgColor indexed="64"/>
          <bgColor auto="1"/>
        </patternFill>
      </fill>
      <alignmen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fill>
        <patternFill patternType="none">
          <fgColor indexed="64"/>
          <bgColor auto="1"/>
        </patternFill>
      </fill>
      <alignmen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fill>
        <patternFill patternType="none">
          <fgColor indexed="64"/>
          <bgColor auto="1"/>
        </patternFill>
      </fill>
      <alignment vertical="center" textRotation="0" indent="0" justifyLastLine="0" shrinkToFit="0" readingOrder="0"/>
    </dxf>
    <dxf>
      <border>
        <bottom style="medium">
          <color indexed="64"/>
        </bottom>
      </border>
    </dxf>
    <dxf>
      <font>
        <b/>
        <i val="0"/>
        <strike val="0"/>
        <condense val="0"/>
        <extend val="0"/>
        <outline val="0"/>
        <shadow val="0"/>
        <u val="none"/>
        <vertAlign val="baseline"/>
        <sz val="11"/>
        <color theme="0"/>
        <name val="Calibri"/>
        <scheme val="minor"/>
      </font>
      <fill>
        <patternFill patternType="none">
          <fgColor indexed="64"/>
          <bgColor auto="1"/>
        </patternFill>
      </fill>
      <alignment horizontal="center" vertical="top" textRotation="0" wrapText="1" indent="0" justifyLastLine="0" shrinkToFit="0" readingOrder="0"/>
      <border diagonalUp="0" diagonalDown="0" outline="0">
        <left/>
        <right/>
        <top/>
        <bottom/>
      </border>
    </dxf>
    <dxf>
      <fill>
        <patternFill>
          <bgColor theme="9" tint="0.39994506668294322"/>
        </patternFill>
      </fill>
    </dxf>
    <dxf>
      <fill>
        <patternFill>
          <bgColor theme="7" tint="0.39994506668294322"/>
        </patternFill>
      </fill>
    </dxf>
    <dxf>
      <fill>
        <patternFill>
          <bgColor rgb="FFE68A93"/>
        </patternFill>
      </fill>
    </dxf>
    <dxf>
      <font>
        <strike val="0"/>
        <color auto="1"/>
      </font>
      <fill>
        <patternFill patternType="solid">
          <bgColor theme="0" tint="-0.14996795556505021"/>
        </patternFill>
      </fill>
    </dxf>
    <dxf>
      <fill>
        <patternFill>
          <fgColor rgb="FFEEACAC"/>
          <bgColor rgb="FFEEACAC"/>
        </patternFill>
      </fill>
    </dxf>
    <dxf>
      <font>
        <color theme="0"/>
      </font>
    </dxf>
    <dxf>
      <font>
        <color theme="0"/>
      </font>
    </dxf>
    <dxf>
      <font>
        <b val="0"/>
        <i val="0"/>
        <strike val="0"/>
        <condense val="0"/>
        <extend val="0"/>
        <outline val="0"/>
        <shadow val="0"/>
        <u val="none"/>
        <vertAlign val="baseline"/>
        <sz val="11"/>
        <color auto="1"/>
        <name val="Calibri"/>
        <scheme val="minor"/>
      </font>
      <numFmt numFmtId="164" formatCode="&quot;$&quot;#,##0.00"/>
      <alignment horizontal="general" vertical="center" textRotation="0" wrapText="1" indent="0" justifyLastLine="0" shrinkToFit="0" readingOrder="0"/>
    </dxf>
    <dxf>
      <font>
        <b val="0"/>
        <i val="0"/>
        <strike val="0"/>
        <condense val="0"/>
        <extend val="0"/>
        <outline val="0"/>
        <shadow val="0"/>
        <u val="none"/>
        <vertAlign val="baseline"/>
        <sz val="11"/>
        <color auto="1"/>
        <name val="Calibri"/>
        <scheme val="minor"/>
      </font>
      <alignment horizontal="center" vertical="center" textRotation="0" wrapText="0" indent="0" justifyLastLine="0" shrinkToFit="0" readingOrder="0"/>
    </dxf>
    <dxf>
      <font>
        <b val="0"/>
        <i val="0"/>
        <strike val="0"/>
        <condense val="0"/>
        <extend val="0"/>
        <outline val="0"/>
        <shadow val="0"/>
        <u val="none"/>
        <vertAlign val="baseline"/>
        <sz val="11"/>
        <color auto="1"/>
        <name val="Calibri"/>
        <scheme val="minor"/>
      </font>
      <alignment horizontal="center" vertical="center" textRotation="0" wrapText="1" indent="0" justifyLastLine="0" shrinkToFit="0" readingOrder="0"/>
    </dxf>
    <dxf>
      <font>
        <b val="0"/>
        <i val="0"/>
        <strike val="0"/>
        <condense val="0"/>
        <extend val="0"/>
        <outline val="0"/>
        <shadow val="0"/>
        <u val="none"/>
        <vertAlign val="baseline"/>
        <sz val="11"/>
        <color auto="1"/>
        <name val="Calibri"/>
        <scheme val="minor"/>
      </font>
      <alignment horizontal="center" vertical="center" textRotation="0" wrapText="1" indent="0" justifyLastLine="0" shrinkToFit="0" readingOrder="0"/>
    </dxf>
    <dxf>
      <font>
        <b val="0"/>
        <i val="0"/>
        <strike val="0"/>
        <condense val="0"/>
        <extend val="0"/>
        <outline val="0"/>
        <shadow val="0"/>
        <u val="none"/>
        <vertAlign val="baseline"/>
        <sz val="11"/>
        <color auto="1"/>
        <name val="Calibri"/>
        <scheme val="minor"/>
      </font>
      <alignment horizontal="general" vertical="center" textRotation="0" wrapText="1" indent="0" justifyLastLine="0" shrinkToFit="0" readingOrder="0"/>
    </dxf>
    <dxf>
      <font>
        <strike val="0"/>
        <outline val="0"/>
        <shadow val="0"/>
        <u val="none"/>
        <vertAlign val="baseline"/>
        <sz val="11"/>
        <color auto="1"/>
        <name val="Calibri"/>
        <scheme val="minor"/>
      </font>
      <alignment horizontal="general" vertical="center" textRotation="0" wrapText="0" indent="0" justifyLastLine="0" shrinkToFit="0" readingOrder="0"/>
    </dxf>
    <dxf>
      <font>
        <b val="0"/>
        <i val="0"/>
        <strike val="0"/>
        <condense val="0"/>
        <extend val="0"/>
        <outline val="0"/>
        <shadow val="0"/>
        <u val="none"/>
        <vertAlign val="baseline"/>
        <sz val="11"/>
        <color auto="1"/>
        <name val="Calibri"/>
        <scheme val="minor"/>
      </font>
      <alignment horizontal="general" vertical="center" textRotation="0" wrapText="1" indent="0" justifyLastLine="0" shrinkToFit="0" readingOrder="0"/>
    </dxf>
    <dxf>
      <font>
        <b val="0"/>
        <i val="0"/>
        <strike val="0"/>
        <condense val="0"/>
        <extend val="0"/>
        <outline val="0"/>
        <shadow val="0"/>
        <u val="none"/>
        <vertAlign val="baseline"/>
        <sz val="11"/>
        <color auto="1"/>
        <name val="Calibri"/>
        <scheme val="minor"/>
      </font>
      <alignment horizontal="center" vertical="center" textRotation="0" wrapText="0" indent="0" justifyLastLine="0" shrinkToFit="0" readingOrder="0"/>
    </dxf>
    <dxf>
      <border outline="0">
        <top style="medium">
          <color indexed="64"/>
        </top>
        <bottom style="thin">
          <color indexed="64"/>
        </bottom>
      </border>
    </dxf>
    <dxf>
      <alignment vertical="center" textRotation="0" indent="0" justifyLastLine="0" shrinkToFit="0" readingOrder="0"/>
    </dxf>
    <dxf>
      <border outline="0">
        <bottom style="medium">
          <color indexed="64"/>
        </bottom>
      </border>
    </dxf>
    <dxf>
      <font>
        <b/>
        <i val="0"/>
        <strike val="0"/>
        <condense val="0"/>
        <extend val="0"/>
        <outline val="0"/>
        <shadow val="0"/>
        <u val="none"/>
        <vertAlign val="baseline"/>
        <sz val="11"/>
        <color theme="0"/>
        <name val="Calibri"/>
        <scheme val="minor"/>
      </font>
      <fill>
        <patternFill patternType="solid">
          <fgColor theme="8"/>
          <bgColor theme="8"/>
        </patternFill>
      </fill>
      <alignment horizontal="general" vertical="top" textRotation="0" wrapText="1" indent="0" justifyLastLine="0" shrinkToFit="0" readingOrder="0"/>
    </dxf>
    <dxf>
      <font>
        <strike val="0"/>
        <outline val="0"/>
        <shadow val="0"/>
        <vertAlign val="baseline"/>
        <sz val="11"/>
        <color auto="1"/>
        <name val="Calibri"/>
        <scheme val="minor"/>
      </font>
      <numFmt numFmtId="164" formatCode="&quot;$&quot;#,##0.00"/>
      <fill>
        <patternFill patternType="none">
          <fgColor indexed="64"/>
          <bgColor auto="1"/>
        </patternFill>
      </fill>
      <alignment vertical="center" textRotation="0" wrapText="1" indent="0" justifyLastLine="0" shrinkToFit="0" readingOrder="0"/>
    </dxf>
    <dxf>
      <font>
        <b val="0"/>
        <i val="0"/>
        <strike val="0"/>
        <condense val="0"/>
        <extend val="0"/>
        <outline val="0"/>
        <shadow val="0"/>
        <u val="none"/>
        <vertAlign val="baseline"/>
        <sz val="11"/>
        <color auto="1"/>
        <name val="Calibri"/>
        <scheme val="minor"/>
      </font>
      <fill>
        <patternFill patternType="none">
          <fgColor indexed="64"/>
          <bgColor auto="1"/>
        </patternFill>
      </fill>
      <alignment horizontal="center" vertical="center" textRotation="0" indent="0" justifyLastLine="0" shrinkToFit="0" readingOrder="0"/>
    </dxf>
    <dxf>
      <font>
        <b val="0"/>
        <i val="0"/>
        <strike val="0"/>
        <condense val="0"/>
        <extend val="0"/>
        <outline val="0"/>
        <shadow val="0"/>
        <u val="none"/>
        <vertAlign val="baseline"/>
        <sz val="11"/>
        <color auto="1"/>
        <name val="Calibri"/>
        <scheme val="minor"/>
      </font>
      <numFmt numFmtId="0" formatCode="General"/>
      <fill>
        <patternFill patternType="none">
          <fgColor indexed="64"/>
          <bgColor auto="1"/>
        </patternFill>
      </fill>
      <alignment horizontal="center" vertical="center" textRotation="0" indent="0" justifyLastLine="0" shrinkToFit="0" readingOrder="0"/>
    </dxf>
    <dxf>
      <font>
        <b val="0"/>
        <i val="0"/>
        <strike val="0"/>
        <condense val="0"/>
        <extend val="0"/>
        <outline val="0"/>
        <shadow val="0"/>
        <u val="none"/>
        <vertAlign val="baseline"/>
        <sz val="11"/>
        <color auto="1"/>
        <name val="Calibri"/>
        <scheme val="minor"/>
      </font>
      <numFmt numFmtId="19" formatCode="m/d/yyyy"/>
      <fill>
        <patternFill patternType="none">
          <fgColor indexed="64"/>
          <bgColor auto="1"/>
        </patternFill>
      </fill>
      <alignment horizontal="center" vertical="center" textRotation="0" indent="0" justifyLastLine="0" shrinkToFit="0" readingOrder="0"/>
    </dxf>
    <dxf>
      <font>
        <b val="0"/>
        <i val="0"/>
        <strike val="0"/>
        <condense val="0"/>
        <extend val="0"/>
        <outline val="0"/>
        <shadow val="0"/>
        <u val="none"/>
        <vertAlign val="baseline"/>
        <sz val="11"/>
        <color auto="1"/>
        <name val="Calibri"/>
        <scheme val="minor"/>
      </font>
      <fill>
        <patternFill patternType="none">
          <fgColor indexed="64"/>
          <bgColor auto="1"/>
        </patternFill>
      </fill>
      <alignment horizontal="center" vertical="center" textRotation="0" indent="0" justifyLastLine="0" shrinkToFit="0" readingOrder="0"/>
    </dxf>
    <dxf>
      <font>
        <strike val="0"/>
        <outline val="0"/>
        <shadow val="0"/>
        <u val="none"/>
        <vertAlign val="baseline"/>
        <sz val="11"/>
        <color auto="1"/>
        <name val="Calibri"/>
        <scheme val="minor"/>
      </font>
      <numFmt numFmtId="0" formatCode="General"/>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scheme val="minor"/>
      </font>
      <numFmt numFmtId="164" formatCode="&quot;$&quot;#,##0.0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scheme val="minor"/>
      </font>
      <numFmt numFmtId="164" formatCode="&quot;$&quot;#,##0.0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scheme val="minor"/>
      </font>
      <numFmt numFmtId="33" formatCode="_(* #,##0_);_(* \(#,##0\);_(* &quot;-&quot;_);_(@_)"/>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scheme val="minor"/>
      </font>
      <numFmt numFmtId="33" formatCode="_(* #,##0_);_(* \(#,##0\);_(* &quot;-&quot;_);_(@_)"/>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scheme val="minor"/>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1"/>
        <color auto="1"/>
        <name val="Calibri"/>
        <scheme val="minor"/>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scheme val="minor"/>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1"/>
        <color auto="1"/>
        <name val="Calibri"/>
        <scheme val="minor"/>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1"/>
        <color auto="1"/>
        <name val="Calibri"/>
        <scheme val="minor"/>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1"/>
        <color auto="1"/>
        <name val="Calibri"/>
        <scheme val="minor"/>
      </font>
      <numFmt numFmtId="33" formatCode="_(* #,##0_);_(* \(#,##0\);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563C1"/>
        <name val="Calibri"/>
        <scheme val="minor"/>
      </font>
      <fill>
        <patternFill patternType="none">
          <fgColor indexed="64"/>
          <bgColor auto="1"/>
        </patternFill>
      </fill>
      <alignment vertical="center" textRotation="0" wrapText="1" indent="0" justifyLastLine="0" shrinkToFit="0" readingOrder="0"/>
    </dxf>
    <dxf>
      <font>
        <b val="0"/>
        <i val="0"/>
        <strike val="0"/>
        <condense val="0"/>
        <extend val="0"/>
        <outline val="0"/>
        <shadow val="0"/>
        <u val="none"/>
        <vertAlign val="baseline"/>
        <sz val="11"/>
        <color auto="1"/>
        <name val="Calibri"/>
        <scheme val="minor"/>
      </font>
      <numFmt numFmtId="19" formatCode="m/d/yyyy"/>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scheme val="minor"/>
      </font>
      <numFmt numFmtId="19" formatCode="m/d/yyyy"/>
      <alignment horizontal="center" vertical="center" textRotation="0" wrapText="1" indent="0" justifyLastLine="0" shrinkToFit="0" readingOrder="0"/>
    </dxf>
    <dxf>
      <font>
        <strike val="0"/>
        <outline val="0"/>
        <shadow val="0"/>
        <vertAlign val="baseline"/>
        <sz val="11"/>
        <color auto="1"/>
        <name val="Calibri"/>
        <scheme val="minor"/>
      </font>
      <numFmt numFmtId="19" formatCode="m/d/yyyy"/>
      <fill>
        <patternFill patternType="none">
          <fgColor indexed="64"/>
          <bgColor auto="1"/>
        </patternFill>
      </fill>
      <alignment vertical="center" textRotation="0" wrapText="1" indent="0" justifyLastLine="0" shrinkToFit="0" readingOrder="0"/>
    </dxf>
    <dxf>
      <font>
        <b val="0"/>
        <i val="0"/>
        <strike val="0"/>
        <condense val="0"/>
        <extend val="0"/>
        <outline val="0"/>
        <shadow val="0"/>
        <u val="none"/>
        <vertAlign val="baseline"/>
        <sz val="11"/>
        <color auto="1"/>
        <name val="Calibri"/>
        <scheme val="minor"/>
      </font>
      <fill>
        <patternFill patternType="none">
          <fgColor indexed="64"/>
          <bgColor auto="1"/>
        </patternFill>
      </fill>
      <alignment vertical="center" textRotation="0" wrapText="1" indent="0" justifyLastLine="0" shrinkToFit="0" readingOrder="0"/>
    </dxf>
    <dxf>
      <font>
        <strike val="0"/>
        <outline val="0"/>
        <shadow val="0"/>
        <vertAlign val="baseline"/>
        <sz val="11"/>
        <color auto="1"/>
        <name val="Calibri"/>
        <scheme val="minor"/>
      </font>
      <numFmt numFmtId="33" formatCode="_(* #,##0_);_(* \(#,##0\);_(* &quot;-&quot;_);_(@_)"/>
      <fill>
        <patternFill patternType="none">
          <fgColor indexed="64"/>
          <bgColor auto="1"/>
        </patternFill>
      </fill>
      <alignment horizontal="general" vertical="center" textRotation="0" wrapText="1" indent="0" justifyLastLine="0" shrinkToFit="0" readingOrder="0"/>
    </dxf>
    <dxf>
      <font>
        <b val="0"/>
        <i val="0"/>
        <strike val="0"/>
        <condense val="0"/>
        <extend val="0"/>
        <outline val="0"/>
        <shadow val="0"/>
        <u val="none"/>
        <vertAlign val="baseline"/>
        <sz val="11"/>
        <color auto="1"/>
        <name val="Calibri"/>
        <scheme val="minor"/>
      </font>
      <fill>
        <patternFill patternType="none">
          <fgColor indexed="64"/>
          <bgColor auto="1"/>
        </patternFill>
      </fill>
      <alignment vertical="top" textRotation="0" wrapText="1" indent="0" justifyLastLine="0" shrinkToFit="0" readingOrder="0"/>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scheme val="none"/>
      </font>
      <fill>
        <patternFill patternType="none">
          <fgColor rgb="FF000000"/>
          <bgColor auto="1"/>
        </patternFill>
      </fill>
      <alignment vertical="center" textRotation="0" indent="0" justifyLastLine="0" shrinkToFit="0" readingOrder="0"/>
    </dxf>
    <dxf>
      <border>
        <bottom style="medium">
          <color rgb="FF000000"/>
        </bottom>
      </border>
    </dxf>
    <dxf>
      <font>
        <b/>
        <i val="0"/>
        <strike val="0"/>
        <condense val="0"/>
        <extend val="0"/>
        <outline val="0"/>
        <shadow val="0"/>
        <u val="none"/>
        <vertAlign val="baseline"/>
        <sz val="11"/>
        <color theme="0"/>
        <name val="Calibri"/>
        <scheme val="minor"/>
      </font>
      <fill>
        <patternFill patternType="none">
          <fgColor indexed="64"/>
          <bgColor auto="1"/>
        </patternFill>
      </fill>
      <alignment horizontal="center" vertical="top" textRotation="0" wrapText="1" indent="0" justifyLastLine="0" shrinkToFit="0" readingOrder="0"/>
      <border diagonalUp="0" diagonalDown="0" outline="0">
        <left/>
        <right/>
        <top/>
        <bottom/>
      </border>
    </dxf>
    <dxf>
      <fill>
        <patternFill>
          <bgColor theme="9" tint="0.39994506668294322"/>
        </patternFill>
      </fill>
    </dxf>
    <dxf>
      <fill>
        <patternFill>
          <bgColor theme="7" tint="0.39994506668294322"/>
        </patternFill>
      </fill>
    </dxf>
    <dxf>
      <fill>
        <patternFill>
          <bgColor rgb="FFE68A93"/>
        </patternFill>
      </fill>
    </dxf>
    <dxf>
      <fill>
        <patternFill>
          <fgColor rgb="FFEEACAC"/>
          <bgColor rgb="FFEEACAC"/>
        </patternFill>
      </fill>
    </dxf>
    <dxf>
      <font>
        <color theme="0"/>
      </font>
    </dxf>
    <dxf>
      <font>
        <color theme="0"/>
      </font>
    </dxf>
    <dxf>
      <font>
        <b/>
        <i val="0"/>
        <strike val="0"/>
        <condense val="0"/>
        <extend val="0"/>
        <outline val="0"/>
        <shadow val="0"/>
        <u val="none"/>
        <vertAlign val="baseline"/>
        <sz val="11"/>
        <color theme="0"/>
        <name val="Calibri"/>
        <scheme val="minor"/>
      </font>
      <alignment horizontal="left" vertical="bottom" textRotation="0" wrapText="0" indent="0" justifyLastLine="0" shrinkToFit="0" readingOrder="0"/>
    </dxf>
    <dxf>
      <font>
        <b val="0"/>
        <i val="0"/>
        <strike val="0"/>
        <condense val="0"/>
        <extend val="0"/>
        <outline val="0"/>
        <shadow val="0"/>
        <u val="none"/>
        <vertAlign val="baseline"/>
        <sz val="11"/>
        <color auto="1"/>
        <name val="Calibri"/>
        <scheme val="none"/>
      </font>
      <fill>
        <patternFill patternType="none">
          <fgColor rgb="FF000000"/>
          <bgColor auto="1"/>
        </patternFill>
      </fill>
      <alignment vertical="center" textRotation="0" indent="0" justifyLastLine="0" shrinkToFit="0" readingOrder="0"/>
    </dxf>
    <dxf>
      <font>
        <strike val="0"/>
        <outline val="0"/>
        <shadow val="0"/>
        <vertAlign val="baseline"/>
        <sz val="11"/>
        <color auto="1"/>
        <name val="Calibri"/>
        <scheme val="minor"/>
      </font>
      <numFmt numFmtId="164" formatCode="&quot;$&quot;#,##0.00"/>
      <fill>
        <patternFill patternType="none">
          <fgColor indexed="64"/>
          <bgColor auto="1"/>
        </patternFill>
      </fill>
      <alignment vertical="center" textRotation="0" wrapText="1" indent="0" justifyLastLine="0" shrinkToFit="0" readingOrder="0"/>
    </dxf>
    <dxf>
      <font>
        <b val="0"/>
        <i val="0"/>
        <strike val="0"/>
        <condense val="0"/>
        <extend val="0"/>
        <outline val="0"/>
        <shadow val="0"/>
        <u val="none"/>
        <vertAlign val="baseline"/>
        <sz val="11"/>
        <color auto="1"/>
        <name val="Calibri"/>
        <scheme val="minor"/>
      </font>
      <fill>
        <patternFill patternType="none">
          <fgColor indexed="64"/>
          <bgColor auto="1"/>
        </patternFill>
      </fill>
      <alignment horizontal="center" vertical="center" textRotation="0" indent="0" justifyLastLine="0" shrinkToFit="0" readingOrder="0"/>
    </dxf>
    <dxf>
      <font>
        <strike val="0"/>
        <outline val="0"/>
        <shadow val="0"/>
        <vertAlign val="baseline"/>
        <sz val="11"/>
        <color auto="1"/>
        <name val="Calibri"/>
        <scheme val="minor"/>
      </font>
      <numFmt numFmtId="165" formatCode="&quot;$&quot;#,##0"/>
      <fill>
        <patternFill patternType="none">
          <fgColor indexed="64"/>
          <bgColor auto="1"/>
        </patternFill>
      </fill>
      <alignment vertical="center" textRotation="0" indent="0" justifyLastLine="0" shrinkToFit="0" readingOrder="0"/>
    </dxf>
    <dxf>
      <font>
        <b val="0"/>
        <i val="0"/>
        <strike val="0"/>
        <condense val="0"/>
        <extend val="0"/>
        <outline val="0"/>
        <shadow val="0"/>
        <u val="none"/>
        <vertAlign val="baseline"/>
        <sz val="11"/>
        <color auto="1"/>
        <name val="Calibri"/>
        <scheme val="minor"/>
      </font>
      <numFmt numFmtId="165" formatCode="&quot;$&quot;#,##0"/>
      <alignment horizontal="general" vertical="center" textRotation="0" wrapText="0" indent="0" justifyLastLine="0" shrinkToFit="0" readingOrder="0"/>
    </dxf>
    <dxf>
      <font>
        <b val="0"/>
        <i val="0"/>
        <strike val="0"/>
        <condense val="0"/>
        <extend val="0"/>
        <outline val="0"/>
        <shadow val="0"/>
        <u val="none"/>
        <vertAlign val="baseline"/>
        <sz val="11"/>
        <color auto="1"/>
        <name val="Calibri"/>
        <scheme val="minor"/>
      </font>
      <numFmt numFmtId="165" formatCode="&quot;$&quot;#,##0"/>
      <fill>
        <patternFill patternType="none">
          <fgColor indexed="64"/>
          <bgColor auto="1"/>
        </patternFill>
      </fill>
      <alignment horizontal="general" vertical="center" textRotation="0" wrapText="0" indent="0" justifyLastLine="0" shrinkToFit="0" readingOrder="0"/>
    </dxf>
    <dxf>
      <font>
        <b val="0"/>
        <i val="0"/>
        <strike val="0"/>
        <condense val="0"/>
        <extend val="0"/>
        <outline val="0"/>
        <shadow val="0"/>
        <u val="none"/>
        <vertAlign val="baseline"/>
        <sz val="11"/>
        <color auto="1"/>
        <name val="Calibri"/>
        <scheme val="minor"/>
      </font>
      <numFmt numFmtId="165" formatCode="&quot;$&quot;#,##0"/>
      <fill>
        <patternFill patternType="none">
          <fgColor indexed="64"/>
          <bgColor auto="1"/>
        </patternFill>
      </fill>
      <alignment horizontal="general" vertical="center" textRotation="0" wrapText="0" indent="0" justifyLastLine="0" shrinkToFit="0" readingOrder="0"/>
    </dxf>
    <dxf>
      <font>
        <b val="0"/>
        <i val="0"/>
        <strike val="0"/>
        <condense val="0"/>
        <extend val="0"/>
        <outline val="0"/>
        <shadow val="0"/>
        <u val="none"/>
        <vertAlign val="baseline"/>
        <sz val="11"/>
        <color auto="1"/>
        <name val="Calibri"/>
        <scheme val="minor"/>
      </font>
      <numFmt numFmtId="165" formatCode="&quot;$&quot;#,##0"/>
      <fill>
        <patternFill patternType="none">
          <fgColor indexed="64"/>
          <bgColor auto="1"/>
        </patternFill>
      </fill>
      <alignment horizontal="general" vertical="center" textRotation="0" wrapText="0" indent="0" justifyLastLine="0" shrinkToFit="0" readingOrder="0"/>
    </dxf>
    <dxf>
      <font>
        <b val="0"/>
        <i val="0"/>
        <strike val="0"/>
        <condense val="0"/>
        <extend val="0"/>
        <outline val="0"/>
        <shadow val="0"/>
        <u val="none"/>
        <vertAlign val="baseline"/>
        <sz val="11"/>
        <color auto="1"/>
        <name val="Calibri"/>
        <scheme val="minor"/>
      </font>
      <numFmt numFmtId="165" formatCode="&quot;$&quot;#,##0"/>
      <alignment horizontal="general" vertical="center" textRotation="0" wrapText="0" indent="0" justifyLastLine="0" shrinkToFit="0" readingOrder="0"/>
    </dxf>
    <dxf>
      <font>
        <b val="0"/>
        <i val="0"/>
        <strike val="0"/>
        <condense val="0"/>
        <extend val="0"/>
        <outline val="0"/>
        <shadow val="0"/>
        <u val="none"/>
        <vertAlign val="baseline"/>
        <sz val="11"/>
        <color auto="1"/>
        <name val="Calibri"/>
        <scheme val="minor"/>
      </font>
      <numFmt numFmtId="165" formatCode="&quot;$&quot;#,##0"/>
      <fill>
        <patternFill patternType="none">
          <fgColor indexed="64"/>
          <bgColor auto="1"/>
        </patternFill>
      </fill>
      <alignment horizontal="general" vertical="center" textRotation="0" wrapText="0" indent="0" justifyLastLine="0" shrinkToFit="0" readingOrder="0"/>
    </dxf>
    <dxf>
      <font>
        <b val="0"/>
        <i val="0"/>
        <strike val="0"/>
        <condense val="0"/>
        <extend val="0"/>
        <outline val="0"/>
        <shadow val="0"/>
        <u val="none"/>
        <vertAlign val="baseline"/>
        <sz val="11"/>
        <color auto="1"/>
        <name val="Calibri"/>
        <scheme val="minor"/>
      </font>
      <numFmt numFmtId="165" formatCode="&quot;$&quot;#,##0"/>
      <fill>
        <patternFill patternType="none">
          <fgColor indexed="64"/>
          <bgColor auto="1"/>
        </patternFill>
      </fill>
      <alignment horizontal="general" vertical="center" textRotation="0" wrapText="0" indent="0" justifyLastLine="0" shrinkToFit="0" readingOrder="0"/>
    </dxf>
    <dxf>
      <font>
        <strike val="0"/>
        <outline val="0"/>
        <shadow val="0"/>
        <vertAlign val="baseline"/>
        <sz val="11"/>
        <color auto="1"/>
        <name val="Calibri"/>
        <scheme val="minor"/>
      </font>
      <numFmt numFmtId="165" formatCode="&quot;$&quot;#,##0"/>
      <fill>
        <patternFill patternType="none">
          <fgColor indexed="64"/>
          <bgColor auto="1"/>
        </patternFill>
      </fill>
      <alignment horizontal="general" vertical="center" textRotation="0" wrapText="0" indent="0" justifyLastLine="0" shrinkToFit="0" readingOrder="0"/>
    </dxf>
    <dxf>
      <font>
        <strike val="0"/>
        <outline val="0"/>
        <shadow val="0"/>
        <vertAlign val="baseline"/>
        <sz val="11"/>
        <color auto="1"/>
        <name val="Calibri"/>
        <scheme val="minor"/>
      </font>
      <numFmt numFmtId="165" formatCode="&quot;$&quot;#,##0"/>
      <fill>
        <patternFill patternType="none">
          <fgColor indexed="64"/>
          <bgColor auto="1"/>
        </patternFill>
      </fill>
      <alignment horizontal="general" vertical="center" textRotation="0" wrapText="0" indent="0" justifyLastLine="0" shrinkToFit="0" readingOrder="0"/>
    </dxf>
    <dxf>
      <font>
        <strike val="0"/>
        <outline val="0"/>
        <shadow val="0"/>
        <vertAlign val="baseline"/>
        <sz val="11"/>
        <color auto="1"/>
        <name val="Calibri"/>
        <scheme val="minor"/>
      </font>
      <numFmt numFmtId="165" formatCode="&quot;$&quot;#,##0"/>
      <fill>
        <patternFill patternType="none">
          <fgColor indexed="64"/>
          <bgColor auto="1"/>
        </patternFill>
      </fill>
      <alignment horizontal="general" vertical="center" textRotation="0" wrapText="0" indent="0" justifyLastLine="0" shrinkToFit="0" readingOrder="0"/>
    </dxf>
    <dxf>
      <font>
        <strike val="0"/>
        <outline val="0"/>
        <shadow val="0"/>
        <vertAlign val="baseline"/>
        <sz val="11"/>
        <color auto="1"/>
        <name val="Calibri"/>
        <scheme val="minor"/>
      </font>
      <numFmt numFmtId="165" formatCode="&quot;$&quot;#,##0"/>
      <fill>
        <patternFill patternType="none">
          <fgColor indexed="64"/>
          <bgColor auto="1"/>
        </patternFill>
      </fill>
      <alignment vertical="center" textRotation="0" indent="0" justifyLastLine="0" shrinkToFit="0" readingOrder="0"/>
    </dxf>
    <dxf>
      <font>
        <strike val="0"/>
        <outline val="0"/>
        <shadow val="0"/>
        <vertAlign val="baseline"/>
        <sz val="11"/>
        <color auto="1"/>
        <name val="Calibri"/>
        <scheme val="minor"/>
      </font>
      <numFmt numFmtId="165" formatCode="&quot;$&quot;#,##0"/>
      <fill>
        <patternFill patternType="none">
          <fgColor indexed="64"/>
          <bgColor auto="1"/>
        </patternFill>
      </fill>
      <alignment vertical="center" textRotation="0" indent="0" justifyLastLine="0" shrinkToFit="0" readingOrder="0"/>
    </dxf>
    <dxf>
      <font>
        <strike val="0"/>
        <outline val="0"/>
        <shadow val="0"/>
        <vertAlign val="baseline"/>
        <sz val="11"/>
        <color auto="1"/>
        <name val="Calibri"/>
        <scheme val="minor"/>
      </font>
      <fill>
        <patternFill patternType="none">
          <fgColor indexed="64"/>
          <bgColor auto="1"/>
        </patternFill>
      </fill>
      <alignment horizontal="general" vertical="center" textRotation="0" wrapText="0" indent="0" justifyLastLine="0" shrinkToFit="0" readingOrder="0"/>
    </dxf>
    <dxf>
      <font>
        <strike val="0"/>
        <outline val="0"/>
        <shadow val="0"/>
        <vertAlign val="baseline"/>
        <sz val="11"/>
        <color auto="1"/>
        <name val="Calibri"/>
        <scheme val="minor"/>
      </font>
      <fill>
        <patternFill patternType="none">
          <fgColor indexed="64"/>
          <bgColor auto="1"/>
        </patternFill>
      </fill>
      <alignment vertical="center" textRotation="0" indent="0" justifyLastLine="0" shrinkToFit="0" readingOrder="0"/>
    </dxf>
    <dxf>
      <font>
        <strike val="0"/>
        <outline val="0"/>
        <shadow val="0"/>
        <vertAlign val="baseline"/>
        <sz val="11"/>
        <color auto="1"/>
        <name val="Calibri"/>
        <scheme val="minor"/>
      </font>
      <fill>
        <patternFill patternType="none">
          <fgColor indexed="64"/>
          <bgColor auto="1"/>
        </patternFill>
      </fill>
      <alignment vertical="center" textRotation="0" indent="0" justifyLastLine="0" shrinkToFit="0" readingOrder="0"/>
    </dxf>
    <dxf>
      <font>
        <strike val="0"/>
        <outline val="0"/>
        <shadow val="0"/>
        <vertAlign val="baseline"/>
        <sz val="11"/>
        <color auto="1"/>
        <name val="Calibri"/>
        <scheme val="minor"/>
      </font>
      <fill>
        <patternFill patternType="none">
          <fgColor indexed="64"/>
          <bgColor auto="1"/>
        </patternFill>
      </fill>
      <alignment vertical="center" textRotation="0" indent="0" justifyLastLine="0" shrinkToFit="0" readingOrder="0"/>
    </dxf>
    <dxf>
      <font>
        <strike val="0"/>
        <outline val="0"/>
        <shadow val="0"/>
        <vertAlign val="baseline"/>
        <sz val="11"/>
        <color auto="1"/>
        <name val="Calibri"/>
        <scheme val="minor"/>
      </font>
      <fill>
        <patternFill patternType="none">
          <fgColor indexed="64"/>
          <bgColor auto="1"/>
        </patternFill>
      </fill>
      <alignment vertical="center" textRotation="0" indent="0" justifyLastLine="0" shrinkToFit="0" readingOrder="0"/>
    </dxf>
    <dxf>
      <font>
        <b val="0"/>
        <i val="0"/>
        <strike val="0"/>
        <condense val="0"/>
        <extend val="0"/>
        <outline val="0"/>
        <shadow val="0"/>
        <u val="none"/>
        <vertAlign val="baseline"/>
        <sz val="11"/>
        <color auto="1"/>
        <name val="Calibri"/>
        <scheme val="minor"/>
      </font>
      <fill>
        <patternFill patternType="none">
          <fgColor indexed="64"/>
          <bgColor auto="1"/>
        </patternFill>
      </fill>
      <alignment vertical="center" textRotation="0" indent="0" justifyLastLine="0" shrinkToFit="0" readingOrder="0"/>
    </dxf>
    <dxf>
      <font>
        <strike val="0"/>
        <outline val="0"/>
        <shadow val="0"/>
        <vertAlign val="baseline"/>
        <sz val="11"/>
        <color auto="1"/>
        <name val="Calibri"/>
        <scheme val="minor"/>
      </font>
      <fill>
        <patternFill patternType="none">
          <fgColor indexed="64"/>
          <bgColor auto="1"/>
        </patternFill>
      </fill>
      <alignment horizontal="center" vertical="center" textRotation="0" wrapText="0" indent="0" justifyLastLine="0" shrinkToFit="0" readingOrder="0"/>
    </dxf>
    <dxf>
      <font>
        <strike val="0"/>
        <outline val="0"/>
        <shadow val="0"/>
        <vertAlign val="baseline"/>
        <sz val="11"/>
        <color auto="1"/>
        <name val="Calibri"/>
        <scheme val="minor"/>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scheme val="minor"/>
      </font>
      <numFmt numFmtId="0" formatCode="General"/>
      <fill>
        <patternFill patternType="none">
          <fgColor indexed="64"/>
          <bgColor auto="1"/>
        </patternFill>
      </fill>
      <alignment horizontal="center" vertical="center" textRotation="0" indent="0" justifyLastLine="0" shrinkToFit="0" readingOrder="0"/>
    </dxf>
    <dxf>
      <font>
        <b val="0"/>
        <i val="0"/>
        <strike val="0"/>
        <condense val="0"/>
        <extend val="0"/>
        <outline val="0"/>
        <shadow val="0"/>
        <u val="none"/>
        <vertAlign val="baseline"/>
        <sz val="11"/>
        <color auto="1"/>
        <name val="Calibri"/>
        <scheme val="minor"/>
      </font>
      <numFmt numFmtId="19" formatCode="m/d/yyyy"/>
      <fill>
        <patternFill patternType="none">
          <fgColor indexed="64"/>
          <bgColor auto="1"/>
        </patternFill>
      </fill>
      <alignment horizontal="center" vertical="center" textRotation="0" indent="0" justifyLastLine="0" shrinkToFit="0" readingOrder="0"/>
    </dxf>
    <dxf>
      <font>
        <b val="0"/>
        <i val="0"/>
        <strike val="0"/>
        <condense val="0"/>
        <extend val="0"/>
        <outline val="0"/>
        <shadow val="0"/>
        <u val="none"/>
        <vertAlign val="baseline"/>
        <sz val="11"/>
        <color auto="1"/>
        <name val="Calibri"/>
        <scheme val="minor"/>
      </font>
      <fill>
        <patternFill patternType="none">
          <fgColor indexed="64"/>
          <bgColor auto="1"/>
        </patternFill>
      </fill>
      <alignment horizontal="center" vertical="center" textRotation="0" indent="0" justifyLastLine="0" shrinkToFit="0" readingOrder="0"/>
    </dxf>
    <dxf>
      <font>
        <b val="0"/>
        <i val="0"/>
        <strike val="0"/>
        <condense val="0"/>
        <extend val="0"/>
        <outline val="0"/>
        <shadow val="0"/>
        <u val="none"/>
        <vertAlign val="baseline"/>
        <sz val="11"/>
        <color auto="1"/>
        <name val="Calibri"/>
        <scheme val="minor"/>
      </font>
      <fill>
        <patternFill patternType="none">
          <fgColor indexed="64"/>
          <bgColor auto="1"/>
        </patternFill>
      </fill>
      <alignment horizontal="center" vertical="center" textRotation="0" indent="0" justifyLastLine="0" shrinkToFit="0" readingOrder="0"/>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1"/>
        <color auto="1"/>
        <name val="Calibri"/>
        <scheme val="minor"/>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1"/>
        <color rgb="FF0563C1"/>
        <name val="Calibri"/>
        <scheme val="minor"/>
      </font>
      <fill>
        <patternFill patternType="none">
          <fgColor indexed="64"/>
          <bgColor auto="1"/>
        </patternFill>
      </fill>
      <alignment vertical="top" textRotation="0" wrapText="1" indent="0" justifyLastLine="0" shrinkToFit="0" readingOrder="0"/>
    </dxf>
    <dxf>
      <font>
        <b val="0"/>
        <strike val="0"/>
        <outline val="0"/>
        <shadow val="0"/>
        <u val="none"/>
        <vertAlign val="baseline"/>
        <sz val="11"/>
        <color auto="1"/>
        <name val="Calibri"/>
        <scheme val="minor"/>
      </font>
      <numFmt numFmtId="19" formatCode="m/d/yyyy"/>
      <alignment horizontal="general" vertical="center" textRotation="0" wrapText="1" indent="0" justifyLastLine="0" shrinkToFit="0" readingOrder="0"/>
    </dxf>
    <dxf>
      <font>
        <strike val="0"/>
        <outline val="0"/>
        <shadow val="0"/>
        <vertAlign val="baseline"/>
        <sz val="11"/>
        <color auto="1"/>
        <name val="Calibri"/>
        <scheme val="minor"/>
      </font>
      <numFmt numFmtId="19" formatCode="m/d/yyyy"/>
      <fill>
        <patternFill patternType="none">
          <fgColor indexed="64"/>
          <bgColor auto="1"/>
        </patternFill>
      </fill>
      <alignment vertical="center" textRotation="0" wrapText="1" indent="0" justifyLastLine="0" shrinkToFit="0" readingOrder="0"/>
    </dxf>
    <dxf>
      <font>
        <b val="0"/>
        <i val="0"/>
        <strike val="0"/>
        <condense val="0"/>
        <extend val="0"/>
        <outline val="0"/>
        <shadow val="0"/>
        <u val="none"/>
        <vertAlign val="baseline"/>
        <sz val="11"/>
        <color auto="1"/>
        <name val="Calibri"/>
        <scheme val="minor"/>
      </font>
      <fill>
        <patternFill patternType="none">
          <fgColor indexed="64"/>
          <bgColor auto="1"/>
        </patternFill>
      </fill>
      <alignment vertical="center" textRotation="0" wrapText="1" indent="0" justifyLastLine="0" shrinkToFit="0" readingOrder="0"/>
    </dxf>
    <dxf>
      <font>
        <b val="0"/>
        <i val="0"/>
        <strike val="0"/>
        <condense val="0"/>
        <extend val="0"/>
        <outline val="0"/>
        <shadow val="0"/>
        <u val="none"/>
        <vertAlign val="baseline"/>
        <sz val="11"/>
        <color auto="1"/>
        <name val="Calibri"/>
        <scheme val="minor"/>
      </font>
      <numFmt numFmtId="33" formatCode="_(* #,##0_);_(* \(#,##0\);_(* &quot;-&quot;_);_(@_)"/>
      <fill>
        <patternFill patternType="none">
          <fgColor indexed="64"/>
          <bgColor indexed="65"/>
        </patternFill>
      </fill>
      <alignment horizontal="center" vertical="center" textRotation="0" wrapText="0" indent="0" justifyLastLine="0" shrinkToFit="0" readingOrder="0"/>
    </dxf>
    <dxf>
      <font>
        <strike val="0"/>
        <outline val="0"/>
        <shadow val="0"/>
        <vertAlign val="baseline"/>
        <sz val="11"/>
        <color auto="1"/>
        <name val="Calibri"/>
        <scheme val="minor"/>
      </font>
      <numFmt numFmtId="33" formatCode="_(* #,##0_);_(* \(#,##0\);_(* &quot;-&quot;_);_(@_)"/>
      <fill>
        <patternFill patternType="none">
          <fgColor indexed="64"/>
          <bgColor auto="1"/>
        </patternFill>
      </fill>
      <alignment horizontal="general" vertical="center" textRotation="0" wrapText="1" indent="0" justifyLastLine="0" shrinkToFit="0" readingOrder="0"/>
    </dxf>
    <dxf>
      <font>
        <b val="0"/>
        <i val="0"/>
        <strike val="0"/>
        <condense val="0"/>
        <extend val="0"/>
        <outline val="0"/>
        <shadow val="0"/>
        <u val="none"/>
        <vertAlign val="baseline"/>
        <sz val="11"/>
        <color auto="1"/>
        <name val="Calibri"/>
        <scheme val="minor"/>
      </font>
      <numFmt numFmtId="33" formatCode="_(* #,##0_);_(* \(#,##0\);_(* &quot;-&quot;_);_(@_)"/>
      <fill>
        <patternFill patternType="none">
          <fgColor indexed="64"/>
          <bgColor auto="1"/>
        </patternFill>
      </fill>
      <alignment vertical="center" textRotation="0" indent="0" justifyLastLine="0" shrinkToFit="0" readingOrder="0"/>
    </dxf>
    <dxf>
      <font>
        <b val="0"/>
        <i val="0"/>
        <strike val="0"/>
        <condense val="0"/>
        <extend val="0"/>
        <outline val="0"/>
        <shadow val="0"/>
        <u val="none"/>
        <vertAlign val="baseline"/>
        <sz val="11"/>
        <color auto="1"/>
        <name val="Calibri"/>
        <scheme val="minor"/>
      </font>
      <fill>
        <patternFill patternType="none">
          <fgColor indexed="64"/>
          <bgColor auto="1"/>
        </patternFill>
      </fill>
      <alignment vertical="top" textRotation="0" wrapText="1" indent="0" justifyLastLine="0" shrinkToFit="0" readingOrder="0"/>
    </dxf>
    <dxf>
      <font>
        <b val="0"/>
        <i val="0"/>
        <strike val="0"/>
        <condense val="0"/>
        <extend val="0"/>
        <outline val="0"/>
        <shadow val="0"/>
        <u val="none"/>
        <vertAlign val="baseline"/>
        <sz val="11"/>
        <color auto="1"/>
        <name val="Calibri"/>
        <scheme val="none"/>
      </font>
      <fill>
        <patternFill patternType="none">
          <fgColor rgb="FF000000"/>
          <bgColor auto="1"/>
        </patternFill>
      </fill>
      <alignment vertical="center" textRotation="0" indent="0" justifyLastLine="0" shrinkToFit="0" readingOrder="0"/>
    </dxf>
    <dxf>
      <border>
        <bottom style="medium">
          <color rgb="FF000000"/>
        </bottom>
      </border>
    </dxf>
    <dxf>
      <font>
        <b/>
        <i val="0"/>
        <strike val="0"/>
        <condense val="0"/>
        <extend val="0"/>
        <outline val="0"/>
        <shadow val="0"/>
        <u val="none"/>
        <vertAlign val="baseline"/>
        <sz val="11"/>
        <color theme="0"/>
        <name val="Calibri"/>
        <scheme val="minor"/>
      </font>
      <fill>
        <patternFill patternType="none">
          <fgColor indexed="64"/>
          <bgColor auto="1"/>
        </patternFill>
      </fill>
      <alignment horizontal="center" vertical="top" textRotation="0" wrapText="1" indent="0" justifyLastLine="0" shrinkToFit="0" readingOrder="0"/>
      <border diagonalUp="0" diagonalDown="0" outline="0">
        <left/>
        <right/>
        <top/>
        <bottom/>
      </border>
    </dxf>
    <dxf>
      <fill>
        <patternFill>
          <bgColor theme="9" tint="0.39994506668294322"/>
        </patternFill>
      </fill>
    </dxf>
    <dxf>
      <fill>
        <patternFill>
          <bgColor theme="7" tint="0.39994506668294322"/>
        </patternFill>
      </fill>
    </dxf>
    <dxf>
      <fill>
        <patternFill>
          <bgColor rgb="FFE68A93"/>
        </patternFill>
      </fill>
    </dxf>
    <dxf>
      <fill>
        <patternFill>
          <bgColor theme="9" tint="0.39994506668294322"/>
        </patternFill>
      </fill>
    </dxf>
    <dxf>
      <fill>
        <patternFill>
          <bgColor theme="7" tint="0.39994506668294322"/>
        </patternFill>
      </fill>
    </dxf>
    <dxf>
      <fill>
        <patternFill>
          <bgColor rgb="FFE68A93"/>
        </patternFill>
      </fill>
    </dxf>
    <dxf>
      <fill>
        <patternFill>
          <bgColor theme="9" tint="0.39994506668294322"/>
        </patternFill>
      </fill>
    </dxf>
    <dxf>
      <fill>
        <patternFill>
          <bgColor theme="7" tint="0.39994506668294322"/>
        </patternFill>
      </fill>
    </dxf>
    <dxf>
      <fill>
        <patternFill>
          <bgColor rgb="FFE68A93"/>
        </patternFill>
      </fill>
    </dxf>
    <dxf>
      <font>
        <color theme="0"/>
      </font>
    </dxf>
    <dxf>
      <fill>
        <patternFill>
          <fgColor rgb="FFEEACAC"/>
          <bgColor rgb="FFEEACAC"/>
        </patternFill>
      </fill>
    </dxf>
    <dxf>
      <font>
        <color theme="0"/>
      </font>
    </dxf>
    <dxf>
      <font>
        <color theme="0"/>
      </font>
    </dxf>
    <dxf>
      <font>
        <strike val="0"/>
        <color auto="1"/>
      </font>
      <fill>
        <patternFill patternType="solid">
          <bgColor theme="0" tint="-0.14996795556505021"/>
        </patternFill>
      </fill>
    </dxf>
    <dxf>
      <fill>
        <patternFill>
          <fgColor rgb="FFEEACAC"/>
          <bgColor rgb="FFEEACAC"/>
        </patternFill>
      </fill>
    </dxf>
    <dxf>
      <font>
        <color theme="0"/>
      </font>
    </dxf>
    <dxf>
      <font>
        <color theme="0"/>
      </font>
    </dxf>
  </dxfs>
  <tableStyles count="0" defaultTableStyle="TableStyleMedium2" defaultPivotStyle="PivotStyleLight16"/>
  <colors>
    <mruColors>
      <color rgb="FF0563C1"/>
      <color rgb="FFE68A93"/>
      <color rgb="FFEEACA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07/relationships/slicerCache" Target="slicerCaches/slicerCache2.xml"/><Relationship Id="rId21" Type="http://schemas.openxmlformats.org/officeDocument/2006/relationships/worksheet" Target="worksheets/sheet21.xml"/><Relationship Id="rId34"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07/relationships/slicerCache" Target="slicerCaches/slicerCache1.xml"/><Relationship Id="rId33"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2.xml"/><Relationship Id="rId32" Type="http://schemas.openxmlformats.org/officeDocument/2006/relationships/calcChain" Target="calcChain.xml"/><Relationship Id="rId37"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1.xml"/><Relationship Id="rId28" Type="http://schemas.openxmlformats.org/officeDocument/2006/relationships/theme" Target="theme/theme1.xml"/><Relationship Id="rId36"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microsoft.com/office/2007/relationships/slicerCache" Target="slicerCaches/slicerCache3.xml"/><Relationship Id="rId30" Type="http://schemas.openxmlformats.org/officeDocument/2006/relationships/sharedStrings" Target="sharedStrings.xml"/><Relationship Id="rId35" Type="http://schemas.openxmlformats.org/officeDocument/2006/relationships/customXml" Target="../customXml/item3.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3.xml.rels><?xml version="1.0" encoding="UTF-8" standalone="yes"?>
<Relationships xmlns="http://schemas.openxmlformats.org/package/2006/relationships"><Relationship Id="rId1" Type="http://schemas.openxmlformats.org/officeDocument/2006/relationships/image" Target="../media/image7.png"/></Relationships>
</file>

<file path=xl/drawings/_rels/drawing4.xml.rels><?xml version="1.0" encoding="UTF-8" standalone="yes"?>
<Relationships xmlns="http://schemas.openxmlformats.org/package/2006/relationships"><Relationship Id="rId1" Type="http://schemas.openxmlformats.org/officeDocument/2006/relationships/image" Target="../media/image8.png"/></Relationships>
</file>

<file path=xl/drawings/_rels/drawing5.xml.rels><?xml version="1.0" encoding="UTF-8" standalone="yes"?>
<Relationships xmlns="http://schemas.openxmlformats.org/package/2006/relationships"><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4</xdr:col>
      <xdr:colOff>485775</xdr:colOff>
      <xdr:row>15</xdr:row>
      <xdr:rowOff>28575</xdr:rowOff>
    </xdr:from>
    <xdr:to>
      <xdr:col>8</xdr:col>
      <xdr:colOff>543907</xdr:colOff>
      <xdr:row>27</xdr:row>
      <xdr:rowOff>124157</xdr:rowOff>
    </xdr:to>
    <xdr:pic>
      <xdr:nvPicPr>
        <xdr:cNvPr id="3" name="Picture 2">
          <a:extLst>
            <a:ext uri="{FF2B5EF4-FFF2-40B4-BE49-F238E27FC236}">
              <a16:creationId xmlns:a16="http://schemas.microsoft.com/office/drawing/2014/main" id="{09087546-CA12-CF64-FE0D-8E3DEACD514C}"/>
            </a:ext>
          </a:extLst>
        </xdr:cNvPr>
        <xdr:cNvPicPr>
          <a:picLocks noChangeAspect="1"/>
        </xdr:cNvPicPr>
      </xdr:nvPicPr>
      <xdr:blipFill>
        <a:blip xmlns:r="http://schemas.openxmlformats.org/officeDocument/2006/relationships" r:embed="rId1"/>
        <a:stretch>
          <a:fillRect/>
        </a:stretch>
      </xdr:blipFill>
      <xdr:spPr>
        <a:xfrm>
          <a:off x="5972175" y="3200400"/>
          <a:ext cx="7039957" cy="2381582"/>
        </a:xfrm>
        <a:prstGeom prst="rect">
          <a:avLst/>
        </a:prstGeom>
      </xdr:spPr>
    </xdr:pic>
    <xdr:clientData/>
  </xdr:twoCellAnchor>
  <xdr:twoCellAnchor editAs="oneCell">
    <xdr:from>
      <xdr:col>4</xdr:col>
      <xdr:colOff>619125</xdr:colOff>
      <xdr:row>27</xdr:row>
      <xdr:rowOff>57150</xdr:rowOff>
    </xdr:from>
    <xdr:to>
      <xdr:col>8</xdr:col>
      <xdr:colOff>239046</xdr:colOff>
      <xdr:row>44</xdr:row>
      <xdr:rowOff>105234</xdr:rowOff>
    </xdr:to>
    <xdr:pic>
      <xdr:nvPicPr>
        <xdr:cNvPr id="4" name="Picture 3">
          <a:extLst>
            <a:ext uri="{FF2B5EF4-FFF2-40B4-BE49-F238E27FC236}">
              <a16:creationId xmlns:a16="http://schemas.microsoft.com/office/drawing/2014/main" id="{5385ABE7-006A-7EBE-8A4A-F441FA00466A}"/>
            </a:ext>
          </a:extLst>
        </xdr:cNvPr>
        <xdr:cNvPicPr>
          <a:picLocks noChangeAspect="1"/>
        </xdr:cNvPicPr>
      </xdr:nvPicPr>
      <xdr:blipFill>
        <a:blip xmlns:r="http://schemas.openxmlformats.org/officeDocument/2006/relationships" r:embed="rId2"/>
        <a:stretch>
          <a:fillRect/>
        </a:stretch>
      </xdr:blipFill>
      <xdr:spPr>
        <a:xfrm>
          <a:off x="6105525" y="5514975"/>
          <a:ext cx="6601746" cy="3286584"/>
        </a:xfrm>
        <a:prstGeom prst="rect">
          <a:avLst/>
        </a:prstGeom>
      </xdr:spPr>
    </xdr:pic>
    <xdr:clientData/>
  </xdr:twoCellAnchor>
  <xdr:twoCellAnchor editAs="oneCell">
    <xdr:from>
      <xdr:col>0</xdr:col>
      <xdr:colOff>114300</xdr:colOff>
      <xdr:row>29</xdr:row>
      <xdr:rowOff>104775</xdr:rowOff>
    </xdr:from>
    <xdr:to>
      <xdr:col>4</xdr:col>
      <xdr:colOff>562803</xdr:colOff>
      <xdr:row>48</xdr:row>
      <xdr:rowOff>67175</xdr:rowOff>
    </xdr:to>
    <xdr:pic>
      <xdr:nvPicPr>
        <xdr:cNvPr id="5" name="Picture 4">
          <a:extLst>
            <a:ext uri="{FF2B5EF4-FFF2-40B4-BE49-F238E27FC236}">
              <a16:creationId xmlns:a16="http://schemas.microsoft.com/office/drawing/2014/main" id="{3BA45F9F-6B71-754D-A911-6C5BA39ADD6A}"/>
            </a:ext>
          </a:extLst>
        </xdr:cNvPr>
        <xdr:cNvPicPr>
          <a:picLocks noChangeAspect="1"/>
        </xdr:cNvPicPr>
      </xdr:nvPicPr>
      <xdr:blipFill>
        <a:blip xmlns:r="http://schemas.openxmlformats.org/officeDocument/2006/relationships" r:embed="rId3"/>
        <a:stretch>
          <a:fillRect/>
        </a:stretch>
      </xdr:blipFill>
      <xdr:spPr>
        <a:xfrm>
          <a:off x="114300" y="5943600"/>
          <a:ext cx="5934903" cy="3581900"/>
        </a:xfrm>
        <a:prstGeom prst="rect">
          <a:avLst/>
        </a:prstGeom>
      </xdr:spPr>
    </xdr:pic>
    <xdr:clientData/>
  </xdr:twoCellAnchor>
  <xdr:twoCellAnchor editAs="oneCell">
    <xdr:from>
      <xdr:col>8</xdr:col>
      <xdr:colOff>676275</xdr:colOff>
      <xdr:row>15</xdr:row>
      <xdr:rowOff>57150</xdr:rowOff>
    </xdr:from>
    <xdr:to>
      <xdr:col>8</xdr:col>
      <xdr:colOff>9288077</xdr:colOff>
      <xdr:row>32</xdr:row>
      <xdr:rowOff>105234</xdr:rowOff>
    </xdr:to>
    <xdr:pic>
      <xdr:nvPicPr>
        <xdr:cNvPr id="6" name="Picture 5">
          <a:extLst>
            <a:ext uri="{FF2B5EF4-FFF2-40B4-BE49-F238E27FC236}">
              <a16:creationId xmlns:a16="http://schemas.microsoft.com/office/drawing/2014/main" id="{9FB5ED72-A4C7-8FC9-1E92-B8D583A9A2AB}"/>
            </a:ext>
          </a:extLst>
        </xdr:cNvPr>
        <xdr:cNvPicPr>
          <a:picLocks noChangeAspect="1"/>
        </xdr:cNvPicPr>
      </xdr:nvPicPr>
      <xdr:blipFill>
        <a:blip xmlns:r="http://schemas.openxmlformats.org/officeDocument/2006/relationships" r:embed="rId4"/>
        <a:stretch>
          <a:fillRect/>
        </a:stretch>
      </xdr:blipFill>
      <xdr:spPr>
        <a:xfrm>
          <a:off x="13144500" y="3228975"/>
          <a:ext cx="8611802" cy="3286584"/>
        </a:xfrm>
        <a:prstGeom prst="rect">
          <a:avLst/>
        </a:prstGeom>
      </xdr:spPr>
    </xdr:pic>
    <xdr:clientData/>
  </xdr:twoCellAnchor>
  <xdr:twoCellAnchor editAs="oneCell">
    <xdr:from>
      <xdr:col>8</xdr:col>
      <xdr:colOff>0</xdr:colOff>
      <xdr:row>34</xdr:row>
      <xdr:rowOff>0</xdr:rowOff>
    </xdr:from>
    <xdr:to>
      <xdr:col>8</xdr:col>
      <xdr:colOff>6134956</xdr:colOff>
      <xdr:row>54</xdr:row>
      <xdr:rowOff>57690</xdr:rowOff>
    </xdr:to>
    <xdr:pic>
      <xdr:nvPicPr>
        <xdr:cNvPr id="7" name="Picture 6">
          <a:extLst>
            <a:ext uri="{FF2B5EF4-FFF2-40B4-BE49-F238E27FC236}">
              <a16:creationId xmlns:a16="http://schemas.microsoft.com/office/drawing/2014/main" id="{0C22AFE3-9950-0C1C-CAD8-AE13AD2D7F1F}"/>
            </a:ext>
          </a:extLst>
        </xdr:cNvPr>
        <xdr:cNvPicPr>
          <a:picLocks noChangeAspect="1"/>
        </xdr:cNvPicPr>
      </xdr:nvPicPr>
      <xdr:blipFill>
        <a:blip xmlns:r="http://schemas.openxmlformats.org/officeDocument/2006/relationships" r:embed="rId5"/>
        <a:stretch>
          <a:fillRect/>
        </a:stretch>
      </xdr:blipFill>
      <xdr:spPr>
        <a:xfrm>
          <a:off x="12468225" y="6791325"/>
          <a:ext cx="6134956" cy="3867690"/>
        </a:xfrm>
        <a:prstGeom prst="rect">
          <a:avLst/>
        </a:prstGeom>
      </xdr:spPr>
    </xdr:pic>
    <xdr:clientData/>
  </xdr:twoCellAnchor>
  <xdr:twoCellAnchor editAs="oneCell">
    <xdr:from>
      <xdr:col>1</xdr:col>
      <xdr:colOff>0</xdr:colOff>
      <xdr:row>15</xdr:row>
      <xdr:rowOff>0</xdr:rowOff>
    </xdr:from>
    <xdr:to>
      <xdr:col>4</xdr:col>
      <xdr:colOff>515164</xdr:colOff>
      <xdr:row>28</xdr:row>
      <xdr:rowOff>346</xdr:rowOff>
    </xdr:to>
    <xdr:pic>
      <xdr:nvPicPr>
        <xdr:cNvPr id="8" name="Picture 7">
          <a:extLst>
            <a:ext uri="{FF2B5EF4-FFF2-40B4-BE49-F238E27FC236}">
              <a16:creationId xmlns:a16="http://schemas.microsoft.com/office/drawing/2014/main" id="{8C35273D-3B9D-8938-0282-A87A3C85BD5B}"/>
            </a:ext>
          </a:extLst>
        </xdr:cNvPr>
        <xdr:cNvPicPr>
          <a:picLocks noChangeAspect="1"/>
        </xdr:cNvPicPr>
      </xdr:nvPicPr>
      <xdr:blipFill>
        <a:blip xmlns:r="http://schemas.openxmlformats.org/officeDocument/2006/relationships" r:embed="rId6"/>
        <a:stretch>
          <a:fillRect/>
        </a:stretch>
      </xdr:blipFill>
      <xdr:spPr>
        <a:xfrm>
          <a:off x="171450" y="3171825"/>
          <a:ext cx="5830114" cy="247684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784860</xdr:colOff>
      <xdr:row>11</xdr:row>
      <xdr:rowOff>175260</xdr:rowOff>
    </xdr:from>
    <xdr:to>
      <xdr:col>8</xdr:col>
      <xdr:colOff>301625</xdr:colOff>
      <xdr:row>18</xdr:row>
      <xdr:rowOff>111125</xdr:rowOff>
    </xdr:to>
    <mc:AlternateContent xmlns:mc="http://schemas.openxmlformats.org/markup-compatibility/2006" xmlns:a14="http://schemas.microsoft.com/office/drawing/2010/main">
      <mc:Choice Requires="a14">
        <xdr:graphicFrame macro="">
          <xdr:nvGraphicFramePr>
            <xdr:cNvPr id="2" name="Work Type">
              <a:extLst>
                <a:ext uri="{FF2B5EF4-FFF2-40B4-BE49-F238E27FC236}">
                  <a16:creationId xmlns:a16="http://schemas.microsoft.com/office/drawing/2014/main" id="{05FE5654-1731-4BF6-C7BD-FA35A671CE65}"/>
                </a:ext>
              </a:extLst>
            </xdr:cNvPr>
            <xdr:cNvGraphicFramePr/>
          </xdr:nvGraphicFramePr>
          <xdr:xfrm>
            <a:off x="0" y="0"/>
            <a:ext cx="0" cy="0"/>
          </xdr:xfrm>
          <a:graphic>
            <a:graphicData uri="http://schemas.microsoft.com/office/drawing/2010/slicer">
              <sle:slicer xmlns:sle="http://schemas.microsoft.com/office/drawing/2010/slicer" name="Work Type"/>
            </a:graphicData>
          </a:graphic>
        </xdr:graphicFrame>
      </mc:Choice>
      <mc:Fallback xmlns="">
        <xdr:sp macro="" textlink="">
          <xdr:nvSpPr>
            <xdr:cNvPr id="0" name=""/>
            <xdr:cNvSpPr>
              <a:spLocks noTextEdit="1"/>
            </xdr:cNvSpPr>
          </xdr:nvSpPr>
          <xdr:spPr>
            <a:xfrm>
              <a:off x="6179820" y="2186940"/>
              <a:ext cx="1825625" cy="118554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784860</xdr:colOff>
      <xdr:row>5</xdr:row>
      <xdr:rowOff>60961</xdr:rowOff>
    </xdr:from>
    <xdr:to>
      <xdr:col>8</xdr:col>
      <xdr:colOff>301625</xdr:colOff>
      <xdr:row>11</xdr:row>
      <xdr:rowOff>149225</xdr:rowOff>
    </xdr:to>
    <mc:AlternateContent xmlns:mc="http://schemas.openxmlformats.org/markup-compatibility/2006" xmlns:a14="http://schemas.microsoft.com/office/drawing/2010/main">
      <mc:Choice Requires="a14">
        <xdr:graphicFrame macro="">
          <xdr:nvGraphicFramePr>
            <xdr:cNvPr id="6" name="Status">
              <a:extLst>
                <a:ext uri="{FF2B5EF4-FFF2-40B4-BE49-F238E27FC236}">
                  <a16:creationId xmlns:a16="http://schemas.microsoft.com/office/drawing/2014/main" id="{967076DB-2A4A-E049-4368-EF9822EA225D}"/>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6179820" y="975361"/>
              <a:ext cx="1825625" cy="115506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777241</xdr:colOff>
      <xdr:row>18</xdr:row>
      <xdr:rowOff>137161</xdr:rowOff>
    </xdr:from>
    <xdr:to>
      <xdr:col>8</xdr:col>
      <xdr:colOff>285116</xdr:colOff>
      <xdr:row>25</xdr:row>
      <xdr:rowOff>35561</xdr:rowOff>
    </xdr:to>
    <mc:AlternateContent xmlns:mc="http://schemas.openxmlformats.org/markup-compatibility/2006" xmlns:a14="http://schemas.microsoft.com/office/drawing/2010/main">
      <mc:Choice Requires="a14">
        <xdr:graphicFrame macro="">
          <xdr:nvGraphicFramePr>
            <xdr:cNvPr id="3" name="Signed Copy">
              <a:extLst>
                <a:ext uri="{FF2B5EF4-FFF2-40B4-BE49-F238E27FC236}">
                  <a16:creationId xmlns:a16="http://schemas.microsoft.com/office/drawing/2014/main" id="{8618BD98-9704-26F2-6388-9F2E3646E913}"/>
                </a:ext>
              </a:extLst>
            </xdr:cNvPr>
            <xdr:cNvGraphicFramePr/>
          </xdr:nvGraphicFramePr>
          <xdr:xfrm>
            <a:off x="0" y="0"/>
            <a:ext cx="0" cy="0"/>
          </xdr:xfrm>
          <a:graphic>
            <a:graphicData uri="http://schemas.microsoft.com/office/drawing/2010/slicer">
              <sle:slicer xmlns:sle="http://schemas.microsoft.com/office/drawing/2010/slicer" name="Signed Copy"/>
            </a:graphicData>
          </a:graphic>
        </xdr:graphicFrame>
      </mc:Choice>
      <mc:Fallback xmlns="">
        <xdr:sp macro="" textlink="">
          <xdr:nvSpPr>
            <xdr:cNvPr id="0" name=""/>
            <xdr:cNvSpPr>
              <a:spLocks noTextEdit="1"/>
            </xdr:cNvSpPr>
          </xdr:nvSpPr>
          <xdr:spPr>
            <a:xfrm>
              <a:off x="6172201" y="3429001"/>
              <a:ext cx="1859280" cy="11690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22860</xdr:colOff>
      <xdr:row>4</xdr:row>
      <xdr:rowOff>15240</xdr:rowOff>
    </xdr:from>
    <xdr:to>
      <xdr:col>2</xdr:col>
      <xdr:colOff>6927178</xdr:colOff>
      <xdr:row>13</xdr:row>
      <xdr:rowOff>91589</xdr:rowOff>
    </xdr:to>
    <xdr:pic>
      <xdr:nvPicPr>
        <xdr:cNvPr id="3" name="Picture 2">
          <a:extLst>
            <a:ext uri="{FF2B5EF4-FFF2-40B4-BE49-F238E27FC236}">
              <a16:creationId xmlns:a16="http://schemas.microsoft.com/office/drawing/2014/main" id="{1466C39E-8FB8-3B17-0CE4-E2D4D9A3D2FD}"/>
            </a:ext>
          </a:extLst>
        </xdr:cNvPr>
        <xdr:cNvPicPr>
          <a:picLocks noChangeAspect="1"/>
        </xdr:cNvPicPr>
      </xdr:nvPicPr>
      <xdr:blipFill>
        <a:blip xmlns:r="http://schemas.openxmlformats.org/officeDocument/2006/relationships" r:embed="rId1"/>
        <a:stretch>
          <a:fillRect/>
        </a:stretch>
      </xdr:blipFill>
      <xdr:spPr>
        <a:xfrm>
          <a:off x="2057400" y="1645920"/>
          <a:ext cx="6904318" cy="172226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5</xdr:col>
      <xdr:colOff>0</xdr:colOff>
      <xdr:row>59</xdr:row>
      <xdr:rowOff>0</xdr:rowOff>
    </xdr:from>
    <xdr:to>
      <xdr:col>16</xdr:col>
      <xdr:colOff>404476</xdr:colOff>
      <xdr:row>62</xdr:row>
      <xdr:rowOff>15321</xdr:rowOff>
    </xdr:to>
    <xdr:pic>
      <xdr:nvPicPr>
        <xdr:cNvPr id="2" name="Picture 1">
          <a:extLst>
            <a:ext uri="{FF2B5EF4-FFF2-40B4-BE49-F238E27FC236}">
              <a16:creationId xmlns:a16="http://schemas.microsoft.com/office/drawing/2014/main" id="{6E255F2F-29E5-66E7-7134-89E595531D9A}"/>
            </a:ext>
          </a:extLst>
        </xdr:cNvPr>
        <xdr:cNvPicPr>
          <a:picLocks noChangeAspect="1"/>
        </xdr:cNvPicPr>
      </xdr:nvPicPr>
      <xdr:blipFill>
        <a:blip xmlns:r="http://schemas.openxmlformats.org/officeDocument/2006/relationships" r:embed="rId1"/>
        <a:stretch>
          <a:fillRect/>
        </a:stretch>
      </xdr:blipFill>
      <xdr:spPr>
        <a:xfrm>
          <a:off x="11490960" y="11704320"/>
          <a:ext cx="7110076" cy="929721"/>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4</xdr:col>
      <xdr:colOff>845820</xdr:colOff>
      <xdr:row>16</xdr:row>
      <xdr:rowOff>53340</xdr:rowOff>
    </xdr:from>
    <xdr:to>
      <xdr:col>10</xdr:col>
      <xdr:colOff>960653</xdr:colOff>
      <xdr:row>28</xdr:row>
      <xdr:rowOff>15427</xdr:rowOff>
    </xdr:to>
    <xdr:pic>
      <xdr:nvPicPr>
        <xdr:cNvPr id="3" name="Picture 2">
          <a:extLst>
            <a:ext uri="{FF2B5EF4-FFF2-40B4-BE49-F238E27FC236}">
              <a16:creationId xmlns:a16="http://schemas.microsoft.com/office/drawing/2014/main" id="{AA58E039-5F6A-7691-5E45-C463EF136669}"/>
            </a:ext>
          </a:extLst>
        </xdr:cNvPr>
        <xdr:cNvPicPr>
          <a:picLocks noChangeAspect="1"/>
        </xdr:cNvPicPr>
      </xdr:nvPicPr>
      <xdr:blipFill>
        <a:blip xmlns:r="http://schemas.openxmlformats.org/officeDocument/2006/relationships" r:embed="rId1"/>
        <a:stretch>
          <a:fillRect/>
        </a:stretch>
      </xdr:blipFill>
      <xdr:spPr>
        <a:xfrm>
          <a:off x="4434840" y="4914900"/>
          <a:ext cx="6149873" cy="2156647"/>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Brittney Ivison" id="{EC908863-CFDD-4FE0-8978-8958247FAF3D}" userId="Brittney Ivison" providerId="None"/>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Brittney Ivison" refreshedDate="45912.646663194442" createdVersion="8" refreshedVersion="8" minRefreshableVersion="3" recordCount="201">
  <cacheSource type="worksheet">
    <worksheetSource name="SOWS"/>
  </cacheSource>
  <cacheFields count="24">
    <cacheField name="Client" numFmtId="0">
      <sharedItems containsBlank="1" count="88">
        <m/>
        <s v="ABC Fitness Solutions, LLC"/>
        <s v="ACGI Software"/>
        <s v="Airport Terminal Services"/>
        <s v="AMDI"/>
        <s v="American Heart Association, Inc."/>
        <s v="AMERICAN LEATHER HOLDINGS, LLC"/>
        <s v="Apex Capital Corp."/>
        <s v="AssetWorks"/>
        <s v="Athenian Group, LLC - LA Metro"/>
        <s v="BDO-Harris County"/>
        <s v="BMW"/>
        <s v="Bot Construction Limited"/>
        <s v="CableOne"/>
        <s v="CACI - LGS Labs"/>
        <s v="Captial Title of Texas"/>
        <s v="Centene"/>
        <s v="Civic Telehealth"/>
        <s v="Clario"/>
        <s v="COE"/>
        <s v="College of American Pathologists (“CAP”)"/>
        <s v="Computex Technology Solutions - Dresser"/>
        <s v="Cynet"/>
        <s v="Dallas Independent School District"/>
        <s v="Dominion Questar"/>
        <s v="Drill Tech Drilling &amp; Shoring, Inc."/>
        <s v="Drill Tech Drilling &amp; Shoring, Inc.  "/>
        <s v="Excellus"/>
        <s v="Florida Realtors"/>
        <s v="FNF"/>
        <s v="Follet Content Solutions LLC (SQL Server)"/>
        <s v="Follett Content Soultions LLC (SQL Server)"/>
        <s v="Follett School Solutions LLC"/>
        <s v="Globalstar"/>
        <s v="HCTRA"/>
        <s v="HRL"/>
        <s v="IdenTrust"/>
        <s v="Incorta"/>
        <s v="Inficon"/>
        <s v="IN-N-Out Burger"/>
        <s v="InterMetro Industries Corporation"/>
        <s v="IQNavigator "/>
        <s v="Jiffy Lube"/>
        <s v="Just Born"/>
        <s v="Lamar Trailer"/>
        <s v="Los Alamos National Laboratory"/>
        <s v="Mainline - KLR Technology"/>
        <s v="Medica"/>
        <s v="Merit Energy"/>
        <s v="Merit Medical Systems"/>
        <s v="Morris-Shea Bridge Company Inc."/>
        <s v="MountainWest Pipleline, LLC"/>
        <s v="National Mango Board"/>
        <s v="Natural Gas Compression Systems, INC. (NGCSI)"/>
        <s v="Neiman Marcus"/>
        <s v="NeoSystems LLC"/>
        <s v="Oak Ridge National Laboratory "/>
        <s v="PathAI/Poplar Healthcare"/>
        <s v="Paychex"/>
        <s v="Power Design"/>
        <s v="Prestolite Electric Inc."/>
        <s v="Quest - San Diego County Sheriffs Department"/>
        <s v="R&amp;L Carriers"/>
        <s v="Record Deposition Service (RDS)"/>
        <s v="Region 10"/>
        <s v="Rent-A-Center"/>
        <s v="RIA - Nationwide"/>
        <s v="RL Carriers"/>
        <s v="Sanofi"/>
        <s v="Saracen Energy"/>
        <s v="Savantage"/>
        <s v="Scan Soft Solutions"/>
        <s v="ServiceLink"/>
        <s v="Sherwin Williams"/>
        <s v="Sports Med Research &amp; Testing Lab"/>
        <s v="STGenetics"/>
        <s v="Texas de Brazil"/>
        <s v="Transnetyx"/>
        <s v="Umass Memorial Health"/>
        <s v="US Renal"/>
        <s v="WellCare"/>
        <s v="Worldwide Clinical Trials Early Phase Services/Bio"/>
        <s v="YTI"/>
        <s v="Dominion Energy Services, Inc."/>
        <s v="SICE"/>
        <s v="American Leather" u="1"/>
        <s v="Follett School Solutions LLC (Oracle EBS)" u="1"/>
        <s v="R+L Carriers" u="1"/>
      </sharedItems>
    </cacheField>
    <cacheField name="Business" numFmtId="0">
      <sharedItems containsBlank="1"/>
    </cacheField>
    <cacheField name="Line of Business " numFmtId="41">
      <sharedItems containsBlank="1"/>
    </cacheField>
    <cacheField name="Contract Type" numFmtId="0">
      <sharedItems containsBlank="1"/>
    </cacheField>
    <cacheField name="Work Type" numFmtId="14">
      <sharedItems containsBlank="1" count="12">
        <m/>
        <s v="Professional Services"/>
        <s v="Managed Services"/>
        <s v="Assessment"/>
        <s v="Retainer"/>
        <s v="Unknown"/>
        <s v="AOP Renewal"/>
        <s v="MS Change Order"/>
        <s v="Purchase Order"/>
        <s v="Retainer Services"/>
        <s v="Staff Aug"/>
        <s v="Change Order"/>
      </sharedItems>
    </cacheField>
    <cacheField name="Date Signed" numFmtId="14">
      <sharedItems containsNonDate="0" containsDate="1" containsString="0" containsBlank="1" minDate="2023-02-22T00:00:00" maxDate="2025-07-08T00:00:00"/>
    </cacheField>
    <cacheField name="Contract Name" numFmtId="0">
      <sharedItems containsBlank="1" count="183">
        <m/>
        <s v="ABC.India Offshore DBA SOW.20230217.docx"/>
        <s v="ABC-Fitness BI - Azure DevOps Integration"/>
        <s v="ABC - Professional Services"/>
        <s v="VNA.ABC_DBA Professional Services_SoW_May 2023.docx"/>
        <s v="VNA.ABC_Professional Services_SoW_Q4 2023.docx"/>
        <s v="Offshore - Monitoring &amp; Support"/>
        <s v="Offshore - DBA Support"/>
        <s v="VNA.ABC.Managed Services SoW.EDW Monitoring.Offshore.2023July.docx"/>
        <s v="VNA.ABC.PF-Get Well-Insights Assessment.SoW.2024Sep.docx"/>
        <s v="VNA.ABC.Professional Services.SoW.2024Jan-Jun.docx"/>
        <s v="VNA.ABC.Support Services SoW.EDW Monitoring.Offshore.2024Jan-Jun.docx"/>
        <s v="VNA.ABC.Professional Services.SoW.2024Jun-Dec"/>
        <s v="VNA.ABC.Support Services SoW.EDW Monitoring.Offshore.2025Apr-Jun.docx"/>
        <s v="VNA.ABC.Support Services SoW.EDW Monitoring.Offshore.2025Jan-Mar.v2.docx"/>
        <s v="VNA.ABC.Support Services SoW.Offshore DBA.2024Mar-Dec.docx"/>
        <s v="VNA.ABC.Support Services SoW.EDW Monitoring.Offshore.2024Jul-Dec.docx.pdf"/>
        <s v="ExaCC DB Migration-Optimization-Support"/>
        <s v="VNA.ABC.Azure Data Monitoring &amp; Dashboard.SoW.May 2025"/>
        <s v="VNA.ABC.Professional Services.SoW.2025Jul-Dec"/>
        <s v="On Demand Consulting - Signed"/>
        <s v="Oracle ERP Managed Services"/>
        <s v="VNA SOW AMDI OEPortal Fully executed.pdf"/>
        <s v="DBA Managed Services"/>
        <s v="SOW-VNA.AL_-EBS_WebServices.Remote_Support_Services.20240823.EXECUTED"/>
        <s v="ALO_B2B_Portal-_Enhancements__BRD_V2.0.EXECUTED"/>
        <s v="SOW.AMERICAN LEATHER.VNA SWATCH MANAGED SERVICES.APR2024.docx"/>
        <s v="CO.AL.LEE.00001.DB2WebservicesDec2024.docx"/>
        <s v="CO.AL.EBSWS.00002.Swatch-User Portal Integration.V2"/>
        <s v="APEX Staff Augmentation- Transfer Views from Oracle to Alternative Data Store"/>
        <s v="SOW-VT.AL -Lee WebServices.Remote Support Services.2025.docx"/>
        <s v="SOW.American_Leather.Web_Services.SOW.ORACLE_EBS.AUG2023.docx"/>
        <s v="SOW-VT.AL -EBS WebServices.Remote Support Services.20240823.REISSUE.docx"/>
        <s v="ALO_B2B_Portal-_Enhancements__BRD_V2.0.EXECUTED.pdf"/>
        <s v="SOW-VT.AL -EBS WebServices.Remote Support Services.20240823.REISSUE.docx.pdf"/>
        <s v="SOW.American Leather.Swatch Enhancements.MVP.wPM.20240802.docx.pdf"/>
        <s v="SOW.AMERICAN LEATHER.VNA STAFF AUGUMENTATION.APR2023.docx"/>
        <s v="SOW_HRMS_and_Financial_Archiving..Executed"/>
        <s v="Records Management and Archive"/>
        <s v="VNA-AL-AP Invoice Automation Services-SOW-v2.docx"/>
        <s v="SOW.AMERICAN LEATHER.VNA SWATCH MANAGED SERVICES.APR2024.docx.pdf"/>
        <s v="SOW.American_Leather.Web_Services.SOW.ORACLE_EBS.AUG2023_x000a_"/>
        <s v="SOW.AMERICAN LEATHER.VT SWATCH REMOTE SERVICES.MAY2025"/>
        <s v="ecommerce program manager support SOW signed 9 December 2023"/>
        <s v="VNA SOW - Apex Capital Corp - DB Modernization.20241230_FINAL.docx"/>
        <s v="Asset Works Database and AOP Assessment SOW"/>
        <s v="Data Input/Automation POV"/>
        <s v="Sql/Apex Training.2022"/>
        <s v="Oracle Apex Timekeeping"/>
        <s v="(SOW) Statement of Work with Cable One, Inc_ (667af9e7f9) (version 1)"/>
        <s v="KURT Statement of Work"/>
        <s v="KURT Migration to AWS - 2nd Run"/>
        <s v="Support LGS Labs’ Kinetic User Repair Tracker KURT database"/>
        <s v="LGS Innovations SOW.docx"/>
        <s v="CRM SQL Server Migration"/>
        <s v="Capital Sales CRM"/>
        <s v="Exadata Optimization, Upgrades _x000a_and Patching, Data Center Services, &amp; Technical _x000a_Advisory Services"/>
        <s v="CTH SOW Strategy.docx"/>
        <s v="CLARIO MANAGED SERVICES CHANGE ORDER 5-22-23.docx_x000a_"/>
        <s v="Clario_Linux_Unix_ODA_Managed_Services_SOW.v3.ADDENDUM.20221122.13.19.docx"/>
        <s v="Clario_Linux_Unix_ODA_Managed_Services_SOW.v3.20220715.FINAL.docx"/>
        <s v="COE.APEX REMOTE SUPPORT SERVICES.SOW.2024.EXECUTED"/>
        <s v="COE_DBA_Sep_2019"/>
        <s v="ODA Migration"/>
        <s v="Dresser EBS Migration"/>
        <s v="Dresser CIM/JiT Assessment"/>
        <s v="DISD- BOS Managed-Services-SOW.2023.75 Hours.docx"/>
        <s v="2024 Renewal Letter KH-205563 Viscosity North America.pdf"/>
        <s v="BOS Managed Services"/>
        <s v="BOS Phase-3"/>
        <s v="License Assessment - 2022"/>
        <s v="Apex Services &amp; Support"/>
        <s v="APEX Office Print - On-premises Gold"/>
        <s v="BOS - Fusion Integration"/>
        <s v="50162797 DEUWI DOT GAS Purchase Order.Executed PO.12MOS (see linked PO)"/>
        <s v="50162702 DEQP Mobile Pipeline- Staff Aug-Purchase Order.Executed PO6MOS. (see linked PO)"/>
        <s v="VNA SOW Phase 1 - drilltech SOW oracle vna v2.2.2 2024 07 30.FINAL.docx.pdf"/>
        <s v="VNA SOW Long Term Rate Card v2.3.docx.pdf"/>
        <s v="Oracle XMLDB Review"/>
        <s v="APEX Forms"/>
        <s v="Florida Realtors Monitoring Support Services"/>
        <s v="19c Upgrade"/>
        <s v="Managed Services"/>
        <s v="FCS.BucketOfHoursSeparationWorkChangeOrder.7-17-24.docx"/>
        <s v="FCS.BucketOfHoursSeparationWorkChangeOrder.8-26-24.docx"/>
        <s v="Follett Content Solutions LLC Managed Services SQL Server DB Support SOW.FINAL.docx"/>
        <s v="VNA SOW - Follett APEX Upgrade 2025 V2.docx SIGNED"/>
        <s v="Follett Managed Services Database Support SOW 02MAY.V4 Follett edits v1 (5.18.2022) Changes Accepted (002)"/>
        <s v="Follett School Solutions LLC MS Change Order Jan 2024 FINAL.docx"/>
        <s v="Globalstar_SOW_for_ODA_Implementation.V3.03102023.docx"/>
        <s v="Harris County"/>
        <s v="Migration And Upgrade"/>
        <s v="IdenTrust - Index Tuning 2025.docx SIGNED"/>
        <s v="IdenTrust - DB Patching 2024.docx SIGNED.pdf"/>
        <s v="IdenTrust DB Patching 2023"/>
        <s v="Identrust Db Patching 2022"/>
        <s v="IDENTRUST Performance Tuning 2023 PO-20069"/>
        <s v="IdenTrust Retainer Services - Schedule A VT - Signed"/>
        <s v="IdenTrust - DB Patching 2025"/>
        <s v="Incorta - Viscosity Project Work Order-Just Born.V2.docx"/>
        <s v="Complete_with_DocuSign_VNAINFICONApplictio SOW.pdf"/>
        <s v="Ino - Goldengate Data Replication"/>
        <s v="Oracle BigCommerce Integration"/>
        <s v="Ebs Migration To Exacc And Ebs Dr"/>
        <s v="Jiffy - DW solution &amp; Data Resiliency analysis"/>
        <s v="Just Born_VNA-Incorta Implementation SOW.docx_x000a_"/>
        <s v="VNA.Lamar Trailers.ODA IP Change.SoW.April 2025.docx"/>
        <s v="SOW.Lamar Trailer.ODA Migration. July 2023 v2.docx"/>
        <s v="LANL SoW.docx"/>
        <s v="VNA Medica Exa Performance and Architecture - July 2024.FINAL.docx.pdf"/>
        <s v="SUSE Linux Upgrade"/>
        <s v="Oracle Security Assessment"/>
        <s v="IO Performance Review"/>
        <s v="MERIT MEDICAL.VNA.RETAINER.JULY2024.docx SIGNED"/>
        <s v="MERIT MEDICAL.VNA.RETAINER.JUNE2023.docx_x000a_"/>
        <s v="Bucket of Hours - IO Performance Review"/>
        <s v="MERIT MEDICAL.VNA.RETAINER.JULY2024.docx SIGNED.pdf"/>
        <s v="MSB - Reboot Project 2022"/>
        <s v="MOUNTAINWEST PIPELINE.VNA.RETAINER.JUNE2023.docx_x000a_"/>
        <s v="Project Jazz"/>
        <s v="SOW - NMB_Custom APEX Training_June 2022"/>
        <s v="Mango Volume &amp; Inventory System SOW"/>
        <s v="Viscosity _Agreement 2024_Exhibit E"/>
        <s v="Enterprise Asset Management System SOW"/>
        <s v="ZFS Setup and Configuration (Not Signed)"/>
        <s v="Oracle Database"/>
        <s v="Exadata Patching - 19c-2022"/>
        <s v="POPLAR MANAGED SERVICES CHANGE ORDER 5-22-23.docx"/>
        <s v="POPLAR MANAGED SERVICES CHANGE ORDER 5-22-23.docx_x000a_"/>
        <s v="SQL Server Remote Monitoring &amp; Management"/>
        <s v="Poplar Sql Server Farm Reconfiguration"/>
        <s v="Viscosity_-_Paychex_POC_GG_Upgrade_and_Microservices_SOW_FINAL_(1).pdf"/>
        <s v="Signed"/>
        <s v="SAN DIEGO COUNTY SHERIFFS DEPARTMENT"/>
        <s v="Viscosity SQL Health Check SOW 8.28.24 V3.docx"/>
        <s v="Viscosity Health Check SOW.FINAL.docx.pdf"/>
        <s v="RLC.OracleAssessment.Change Order.SQL Server Remediation.RLC.0001.2025.docx"/>
        <s v="VNA SOW RDS Physical-to-Virtual Migration - Signed"/>
        <s v="Development Support"/>
        <s v="Applicant Tracking System"/>
        <s v="Region 10 -ORDS and AOP Upgrade.2024 NOV.docx"/>
        <s v="Oracle Cloud Infrastructure- Infrastructure Support and Maintenance"/>
        <s v="Proactive Performance Health Check Assessment"/>
        <s v="RIA Support Services"/>
        <s v="Database Upgrade of 19c"/>
        <s v="FULLY SIGNED Viscosity Short Term Remediation Time and Materials SOW"/>
        <s v="Sanofi-Data Guard Build"/>
        <s v="Sanofi_SOW-InfrastructureAnalysis_20230511"/>
        <s v="2.0_VNA_SOW_-_v5.1_Execution_2025_03_30"/>
        <s v="n/a"/>
        <s v="Sherwin Managed Services"/>
        <s v="USP00831756"/>
        <s v="SMRTL- Assessment"/>
        <s v="ChangeOrder.SMRTL.Price_Group_Sample_Result_Backend.docx"/>
        <s v="ChangeOrder.SMRTL.CBC_Report_Audit_Storage_Backend 1.docx"/>
        <s v="VNA-SOW-SMRTL-Phase01.20240110.docx"/>
        <s v="SURGE - Technical Integration"/>
        <s v="SURGE - Production Support"/>
        <s v="SURGE - Project Management"/>
        <s v="SURGE- Oracle ERP (Financials)"/>
        <s v="SURGE  - Oracle EPM"/>
        <s v="Symphony Integration, new environment &amp; Tech stack Update"/>
        <s v="ChangeOrder.TDB.SU.00004.HotSchedules_Rates.JAN2025.docx"/>
        <s v="Transformation  Enhancements"/>
        <s v="TRANSNETYX MANAGED SERVICES CHANGE ORDER 2-23-24 CUSTOMER SIGNED"/>
        <s v="Transnetyx Managed Services Database Support SOW 2024.docx"/>
        <s v="Oracle and SQL Server Remote Monitoring and Management"/>
        <s v="Transnetyx - SQL Server Storage Assessment &amp; Clean Up.docx SIGNED.pdf"/>
        <s v="Database Managed Services"/>
        <s v="USRC Support"/>
        <s v="VT SOW - USRC GG Upgrade and Migration (USRC Revisions 2 19 25)(VT Accepted) 1"/>
        <s v="Oracle Database Performance Tuning"/>
        <s v="Amisys"/>
        <s v="Database Upgrades Infra-build"/>
        <s v="WWCT - SQL Managed Services SOW.docx"/>
        <s v="VNA WWCT Legacy DB Migration 17Feb25 final.docx.pdf"/>
        <s v="WWCT - NVMe Add and ASM Services - 9-15-23.docx"/>
        <s v="YTI SOW Viscosity North America 13MARCH2024.pdf"/>
        <s v="YTI.ProjectPauseChangeOrder.7-1-24 SIGNED.pdf"/>
        <s v="50171304.SOW 6MOS.SOW 12 MOS.2025.PDF"/>
        <s v="Performance Assessment SOW SICE_11FEB2025"/>
        <s v="ODA Implementation" u="1"/>
        <s v="Health Check" u="1"/>
      </sharedItems>
    </cacheField>
    <cacheField name="Project Contact" numFmtId="41">
      <sharedItems containsMixedTypes="1" containsNumber="1" containsInteger="1" minValue="0" maxValue="0"/>
    </cacheField>
    <cacheField name="Signed Copy" numFmtId="0">
      <sharedItems containsBlank="1"/>
    </cacheField>
    <cacheField name="DocuSign" numFmtId="0">
      <sharedItems containsBlank="1"/>
    </cacheField>
    <cacheField name="Status" numFmtId="0">
      <sharedItems containsBlank="1" count="6">
        <m/>
        <s v="Unknown"/>
        <s v="Inactive"/>
        <s v="Active"/>
        <s v="Expired"/>
        <s v="Pending"/>
      </sharedItems>
    </cacheField>
    <cacheField name="Requires PO" numFmtId="0">
      <sharedItems containsBlank="1" containsMixedTypes="1" containsNumber="1" containsInteger="1" minValue="1000033602" maxValue="1000033602"/>
    </cacheField>
    <cacheField name="PO #" numFmtId="0">
      <sharedItems containsBlank="1" containsMixedTypes="1" containsNumber="1" containsInteger="1" minValue="81151" maxValue="4500032976"/>
    </cacheField>
    <cacheField name="Cycle" numFmtId="0">
      <sharedItems containsBlank="1"/>
    </cacheField>
    <cacheField name="Payment Terms" numFmtId="0">
      <sharedItems containsBlank="1"/>
    </cacheField>
    <cacheField name="Monthly Budget" numFmtId="164">
      <sharedItems containsBlank="1" containsMixedTypes="1" containsNumber="1" containsInteger="1" minValue="1300" maxValue="21625"/>
    </cacheField>
    <cacheField name="Total Budget" numFmtId="164">
      <sharedItems containsBlank="1" containsMixedTypes="1" containsNumber="1" containsInteger="1" minValue="7000" maxValue="479200"/>
    </cacheField>
    <cacheField name="Block Of Hours" numFmtId="0">
      <sharedItems containsBlank="1" containsMixedTypes="1" containsNumber="1" containsInteger="1" minValue="8" maxValue="2080"/>
    </cacheField>
    <cacheField name="Effective Date" numFmtId="0">
      <sharedItems containsDate="1" containsBlank="1" containsMixedTypes="1" minDate="2015-12-10T00:00:00" maxDate="2025-08-17T00:00:00"/>
    </cacheField>
    <cacheField name="Duration (Months)" numFmtId="0">
      <sharedItems containsBlank="1" containsMixedTypes="1" containsNumber="1" minValue="1" maxValue="36"/>
    </cacheField>
    <cacheField name="Expiration Date" numFmtId="14">
      <sharedItems containsDate="1" containsMixedTypes="1" minDate="1899-12-30T00:00:00" maxDate="2027-09-02T00:00:00" count="74">
        <d v="1899-12-30T00:00:00"/>
        <s v=""/>
        <d v="2023-06-27T00:00:00"/>
        <d v="2024-02-15T00:00:00"/>
        <d v="2024-01-01T00:00:00"/>
        <d v="2025-01-01T00:00:00"/>
        <d v="2024-12-31T00:00:00"/>
        <d v="2025-08-31T00:00:00"/>
        <d v="2023-06-30T00:00:00"/>
        <d v="2027-09-01T00:00:00"/>
        <d v="2024-04-17T00:00:00"/>
        <d v="2024-08-31T00:00:00"/>
        <d v="2025-04-30T00:00:00"/>
        <d v="2023-08-22T00:00:00"/>
        <d v="2025-05-01T00:00:00"/>
        <d v="2024-03-31T00:00:00"/>
        <d v="2025-04-01T00:00:00"/>
        <d v="2023-04-20T00:00:00"/>
        <d v="2023-05-27T00:00:00"/>
        <d v="2024-10-01T00:00:00"/>
        <d v="2023-12-06T00:00:00"/>
        <d v="2023-12-12T00:00:00"/>
        <d v="2024-12-06T00:00:00"/>
        <d v="2023-03-25T00:00:00"/>
        <d v="2023-07-10T00:00:00"/>
        <d v="2025-10-14T00:00:00"/>
        <d v="2026-10-01T00:00:00"/>
        <d v="2026-09-30T00:00:00"/>
        <d v="2021-09-01T00:00:00"/>
        <d v="2024-02-28T00:00:00"/>
        <d v="2022-10-16T00:00:00"/>
        <d v="2024-06-07T00:00:00"/>
        <d v="2023-04-14T00:00:00"/>
        <d v="2024-06-30T00:00:00"/>
        <d v="2024-05-30T00:00:00"/>
        <d v="2024-09-30T00:00:00"/>
        <d v="2022-01-01T00:00:00"/>
        <d v="2022-06-30T00:00:00"/>
        <d v="2021-10-28T00:00:00"/>
        <d v="2022-12-31T00:00:00"/>
        <d v="2025-06-17T00:00:00"/>
        <d v="2025-02-02T00:00:00"/>
        <d v="2022-10-11T00:00:00"/>
        <d v="2026-02-06T00:00:00"/>
        <d v="2025-08-27T00:00:00"/>
        <d v="2024-08-02T00:00:00"/>
        <d v="2023-09-06T00:00:00"/>
        <d v="2024-05-16T00:00:00"/>
        <d v="2021-08-10T00:00:00"/>
        <s v="None"/>
        <d v="2024-02-06T00:00:00"/>
        <d v="2024-07-17T00:00:00"/>
        <d v="2025-07-17T00:00:00"/>
        <d v="2023-08-03T00:00:00"/>
        <d v="2023-07-03T00:00:00"/>
        <d v="2023-03-08T00:00:00"/>
        <d v="2023-05-22T00:00:00"/>
        <d v="2023-06-14T00:00:00"/>
        <d v="2024-03-01T00:00:00"/>
        <d v="2024-10-21T00:00:00"/>
        <d v="2024-11-30T00:00:00"/>
        <d v="2021-02-20T00:00:00"/>
        <d v="2023-12-16T00:00:00"/>
        <d v="2023-10-17T00:00:00"/>
        <d v="2023-12-31T00:00:00"/>
        <d v="2017-12-10T00:00:00"/>
        <d v="2025-04-04T00:00:00"/>
        <d v="2024-12-17T00:00:00"/>
        <d v="2021-10-31T00:00:00"/>
        <d v="2025-04-12T00:00:00"/>
        <d v="2024-04-01T00:00:00"/>
        <d v="2025-02-24T00:00:00"/>
        <d v="2025-05-20T00:00:00"/>
        <d v="2025-06-01T00:00:00" u="1"/>
      </sharedItems>
    </cacheField>
    <cacheField name="Days to Contract End" numFmtId="0">
      <sharedItems containsMixedTypes="1" containsNumber="1" containsInteger="1" minValue="-45912" maxValue="1440"/>
    </cacheField>
    <cacheField name="R.A.G. Status" numFmtId="0">
      <sharedItems count="3">
        <s v="R"/>
        <s v="G"/>
        <s v="A"/>
      </sharedItems>
    </cacheField>
    <cacheField name="Discription of Project" numFmtId="164">
      <sharedItems containsBlank="1" longText="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r:id="rId1" refreshOnLoad="1" refreshedBy="Admin" refreshedDate="46093.777737847224" createdVersion="8" refreshedVersion="6" minRefreshableVersion="3" recordCount="215">
  <cacheSource type="worksheet">
    <worksheetSource name="ALL_02FEB2024"/>
  </cacheSource>
  <cacheFields count="43">
    <cacheField name="Client" numFmtId="0">
      <sharedItems containsBlank="1" count="84">
        <s v="ABC Fitness Solutions, LLC"/>
        <s v="ACGI Software"/>
        <s v="Airport Terminal Services"/>
        <s v="American Heart Association, Inc."/>
        <s v="American Leather"/>
        <s v="AssetWorks"/>
        <s v="Athenian Group, LLC "/>
        <s v="Athenian Group, LLC - LA Metro"/>
        <s v="BMW"/>
        <s v="Bot Construction Limited"/>
        <s v="CACI"/>
        <s v="CACI - LGS Labs"/>
        <s v="Captial Title of Texas"/>
        <s v="Clario"/>
        <s v="COE"/>
        <s v="College of American Pathologists (“CAP”)"/>
        <s v="Computex Technology Solutions"/>
        <s v="Computex Technology Solutions - Dresser"/>
        <s v="Cynet"/>
        <s v="Dallas Independent School District"/>
        <s v="Dominion Questar"/>
        <s v="Excellus"/>
        <s v="Fleet Farm"/>
        <s v="Florida Realtors"/>
        <s v="Flowtrac"/>
        <s v="FNF"/>
        <s v="Follett Content Soultions LLC (SQL Server)"/>
        <s v="Follett School Solutions LLC (Oracle EBS)"/>
        <s v="Globalstar"/>
        <s v="HCTRA"/>
        <s v="HRL"/>
        <s v="IdenTrust"/>
        <s v="InComm"/>
        <s v="Incorta"/>
        <s v="Team Car Care, LLC / _x000a_Jiffy Lube"/>
        <s v="IN-N-Out Burger"/>
        <s v="InterMetro Industries Corporation"/>
        <s v="IQNavigator "/>
        <s v="Jiffy Lube"/>
        <s v="Just Born"/>
        <s v="LGS Labs"/>
        <s v="Mainline - KLR Technology"/>
        <s v="Merit Energy"/>
        <s v="Merit Medical Systems"/>
        <s v="Morris-Shea Bridge Company Inc."/>
        <s v="MountainWest Pipleline, LLC"/>
        <s v="National Mango Board"/>
        <s v="Nationwide Mutal Insurance Company"/>
        <s v="Natural Gas Compression Systems, INC. (NGCSI)"/>
        <s v="Neiman Marcus"/>
        <s v="NeoSystems LLC"/>
        <s v="Oak Ridge National Laboratory "/>
        <s v="PathAI/Poplar Healthcare"/>
        <s v="Power Design"/>
        <s v="Prestolite Electric Inc."/>
        <s v="Quest"/>
        <s v="Quest - San Diego County Sheriffs Department"/>
        <s v="R+L Carriers"/>
        <s v="Record Deposition Service (RDS)"/>
        <s v="Region 10"/>
        <s v="Rent-A-Center"/>
        <s v="RIA - Nationwide"/>
        <s v="Sanofi"/>
        <s v="Saracen Energy"/>
        <s v="ServiceLink"/>
        <s v="Sherwin Williams"/>
        <s v="Solix"/>
        <s v="Standard Lithium Ltd"/>
        <s v="STGenetics"/>
        <s v="Sports Med Research &amp; Testing Lab"/>
        <s v="Texas de Brazil"/>
        <s v="Transnetyx"/>
        <s v="Umass Memorial Health"/>
        <s v="US Renal"/>
        <s v="Transnetyx "/>
        <s v="WellCare"/>
        <s v="Worldwide Clinical Trials Early Phase Services/Bio"/>
        <s v="Centene"/>
        <s v="Lamar Trailer"/>
        <s v="RL Carriers"/>
        <m/>
        <s v="RAI - Nationwide" u="1"/>
        <s v="Ria Services" u="1"/>
        <s v="Follett" u="1"/>
      </sharedItems>
    </cacheField>
    <cacheField name="Contact" numFmtId="41">
      <sharedItems containsMixedTypes="1" containsNumber="1" containsInteger="1" minValue="0" maxValue="0"/>
    </cacheField>
    <cacheField name="Line of Business " numFmtId="41">
      <sharedItems containsBlank="1"/>
    </cacheField>
    <cacheField name="Contract Type" numFmtId="14">
      <sharedItems containsBlank="1"/>
    </cacheField>
    <cacheField name="Work Type" numFmtId="14">
      <sharedItems containsBlank="1" count="11">
        <s v="Agreement"/>
        <s v="Managed Services"/>
        <s v="Professional Services"/>
        <s v="Assessment"/>
        <m/>
        <s v="AOP Renewal"/>
        <s v="Unknown"/>
        <s v="MS Change Order"/>
        <s v="Purchase Order"/>
        <s v="Retainer"/>
        <s v="Staff Aug"/>
      </sharedItems>
    </cacheField>
    <cacheField name="Project Manager" numFmtId="14">
      <sharedItems containsBlank="1"/>
    </cacheField>
    <cacheField name="Description" numFmtId="0">
      <sharedItems containsBlank="1"/>
    </cacheField>
    <cacheField name="Signed Copy" numFmtId="0">
      <sharedItems containsBlank="1" count="3">
        <s v="Yes"/>
        <s v="No"/>
        <m/>
      </sharedItems>
    </cacheField>
    <cacheField name="DocuSign" numFmtId="0">
      <sharedItems containsBlank="1"/>
    </cacheField>
    <cacheField name="Status" numFmtId="0">
      <sharedItems containsBlank="1" count="7">
        <s v="Active"/>
        <s v="Expired"/>
        <s v="Inactive"/>
        <s v="Pending"/>
        <s v="Unknown"/>
        <m/>
        <s v="N/A" u="1"/>
      </sharedItems>
    </cacheField>
    <cacheField name="Business" numFmtId="0">
      <sharedItems containsBlank="1"/>
    </cacheField>
    <cacheField name="Requires PO" numFmtId="0">
      <sharedItems containsBlank="1"/>
    </cacheField>
    <cacheField name="PO #" numFmtId="0">
      <sharedItems containsBlank="1" containsMixedTypes="1" containsNumber="1" containsInteger="1" minValue="81151" maxValue="4500032976"/>
    </cacheField>
    <cacheField name="Cycle" numFmtId="0">
      <sharedItems containsBlank="1" count="9">
        <s v="-"/>
        <m/>
        <s v="Monthly"/>
        <s v="Block of Hours"/>
        <s v="Custom"/>
        <s v="Daily"/>
        <s v="Biweekly"/>
        <s v="Weekly"/>
        <s v="Quarerly"/>
      </sharedItems>
    </cacheField>
    <cacheField name="Payment Terms" numFmtId="0">
      <sharedItems containsBlank="1"/>
    </cacheField>
    <cacheField name="Monthly Budget" numFmtId="164">
      <sharedItems containsBlank="1" containsMixedTypes="1" containsNumber="1" minValue="1300" maxValue="21625"/>
    </cacheField>
    <cacheField name="Total Budget" numFmtId="164">
      <sharedItems containsBlank="1" containsMixedTypes="1" containsNumber="1" containsInteger="1" minValue="7000" maxValue="479200"/>
    </cacheField>
    <cacheField name="Block Of Hours" numFmtId="0">
      <sharedItems containsBlank="1" containsMixedTypes="1" containsNumber="1" containsInteger="1" minValue="8" maxValue="2080"/>
    </cacheField>
    <cacheField name="Effective Date" numFmtId="14">
      <sharedItems containsDate="1" containsBlank="1" containsMixedTypes="1" minDate="1900-01-25T00:00:00" maxDate="2024-12-09T00:00:00"/>
    </cacheField>
    <cacheField name="Duration (Months)" numFmtId="0">
      <sharedItems containsBlank="1" containsMixedTypes="1" containsNumber="1" minValue="1" maxValue="60"/>
    </cacheField>
    <cacheField name="Expiration Date" numFmtId="14">
      <sharedItems containsDate="1" containsMixedTypes="1" minDate="1899-12-30T00:00:00" maxDate="2027-08-06T00:00:00"/>
    </cacheField>
    <cacheField name="Days to Contract End" numFmtId="0">
      <sharedItems containsMixedTypes="1" containsNumber="1" containsInteger="1" minValue="-46093" maxValue="2693"/>
    </cacheField>
    <cacheField name="General Liability Insurance" numFmtId="0">
      <sharedItems containsBlank="1"/>
    </cacheField>
    <cacheField name="COI Requirement" numFmtId="0">
      <sharedItems containsBlank="1"/>
    </cacheField>
    <cacheField name="GL Aggregate Limits" numFmtId="0">
      <sharedItems containsBlank="1"/>
    </cacheField>
    <cacheField name="GL per Occurrence" numFmtId="0">
      <sharedItems containsBlank="1"/>
    </cacheField>
    <cacheField name="Workers Compensation" numFmtId="0">
      <sharedItems containsBlank="1"/>
    </cacheField>
    <cacheField name="Employers Liability " numFmtId="0">
      <sharedItems containsBlank="1"/>
    </cacheField>
    <cacheField name="Umbrella Aggregate" numFmtId="0">
      <sharedItems containsBlank="1"/>
    </cacheField>
    <cacheField name="Umbrella per Occurrence" numFmtId="0">
      <sharedItems containsBlank="1"/>
    </cacheField>
    <cacheField name="Cyber Aggregate" numFmtId="165">
      <sharedItems containsBlank="1"/>
    </cacheField>
    <cacheField name="Cyber per Occurrence" numFmtId="165">
      <sharedItems containsBlank="1"/>
    </cacheField>
    <cacheField name="Professional Liability (E&amp;O)" numFmtId="165">
      <sharedItems containsBlank="1"/>
    </cacheField>
    <cacheField name="Property in Transit" numFmtId="165">
      <sharedItems containsBlank="1"/>
    </cacheField>
    <cacheField name="Employee Theft of Client Property" numFmtId="165">
      <sharedItems containsBlank="1"/>
    </cacheField>
    <cacheField name="Products/Completed Operations" numFmtId="165">
      <sharedItems containsBlank="1"/>
    </cacheField>
    <cacheField name="Personal &amp; Advertising Injury" numFmtId="165">
      <sharedItems containsBlank="1"/>
    </cacheField>
    <cacheField name="Fire Legal Liability Injury" numFmtId="165">
      <sharedItems containsBlank="1"/>
    </cacheField>
    <cacheField name="Medical Payments" numFmtId="165">
      <sharedItems containsBlank="1"/>
    </cacheField>
    <cacheField name="Auto Insurance Combined Single Limit" numFmtId="165">
      <sharedItems containsBlank="1"/>
    </cacheField>
    <cacheField name="Auto Insurance per Occurrence2" numFmtId="165">
      <sharedItems containsBlank="1"/>
    </cacheField>
    <cacheField name="R.A.G. Status" numFmtId="0">
      <sharedItems/>
    </cacheField>
    <cacheField name="Notes" numFmtId="0">
      <sharedItems containsBlank="1" longText="1"/>
    </cacheField>
  </cacheFields>
  <extLst>
    <ext xmlns:x14="http://schemas.microsoft.com/office/spreadsheetml/2009/9/main" uri="{725AE2AE-9491-48be-B2B4-4EB974FC3084}">
      <x14:pivotCacheDefinition pivotCacheId="203601556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1">
  <r>
    <x v="0"/>
    <m/>
    <m/>
    <m/>
    <x v="0"/>
    <m/>
    <x v="0"/>
    <n v="0"/>
    <m/>
    <m/>
    <x v="0"/>
    <m/>
    <m/>
    <m/>
    <m/>
    <m/>
    <m/>
    <m/>
    <m/>
    <m/>
    <x v="0"/>
    <n v="-45912"/>
    <x v="0"/>
    <m/>
  </r>
  <r>
    <x v="1"/>
    <s v="VNA"/>
    <s v="Infrastructure"/>
    <s v="SOW"/>
    <x v="1"/>
    <d v="2023-02-22T00:00:00"/>
    <x v="1"/>
    <s v="-"/>
    <m/>
    <m/>
    <x v="0"/>
    <m/>
    <m/>
    <m/>
    <m/>
    <m/>
    <m/>
    <m/>
    <m/>
    <m/>
    <x v="0"/>
    <n v="-45912"/>
    <x v="0"/>
    <m/>
  </r>
  <r>
    <x v="1"/>
    <s v="VNA"/>
    <s v="Infrastructure"/>
    <s v="SOW"/>
    <x v="1"/>
    <m/>
    <x v="2"/>
    <s v="Prakash Rikhilal"/>
    <s v="Yes"/>
    <m/>
    <x v="1"/>
    <s v="Yes"/>
    <m/>
    <s v="Block of Hours"/>
    <m/>
    <m/>
    <n v="229600"/>
    <n v="1312"/>
    <d v="2022-01-25T00:00:00"/>
    <s v="ON-GOING"/>
    <x v="1"/>
    <s v=""/>
    <x v="1"/>
    <m/>
  </r>
  <r>
    <x v="1"/>
    <s v="VNA"/>
    <s v="Infrastructure"/>
    <s v="SOW"/>
    <x v="1"/>
    <m/>
    <x v="3"/>
    <s v="Prakash Rikhilal"/>
    <s v="Yes"/>
    <m/>
    <x v="1"/>
    <s v="Yes"/>
    <s v="PO23-29200"/>
    <s v="Block of Hours"/>
    <m/>
    <m/>
    <n v="91000"/>
    <n v="520"/>
    <d v="2022-03-01T00:00:00"/>
    <s v="ON-GOING"/>
    <x v="1"/>
    <s v=""/>
    <x v="1"/>
    <m/>
  </r>
  <r>
    <x v="1"/>
    <s v="VNA"/>
    <s v="Infrastructure"/>
    <s v="SOW"/>
    <x v="1"/>
    <d v="2023-05-23T00:00:00"/>
    <x v="4"/>
    <s v="Prakash Rikhilal"/>
    <s v="Yes"/>
    <s v="Yes"/>
    <x v="1"/>
    <m/>
    <m/>
    <m/>
    <m/>
    <m/>
    <m/>
    <s v="60/week"/>
    <d v="2023-05-17T00:00:00"/>
    <s v="ON-GOING"/>
    <x v="1"/>
    <s v=""/>
    <x v="1"/>
    <m/>
  </r>
  <r>
    <x v="1"/>
    <s v="VNA"/>
    <s v="Infrastructure"/>
    <s v="SOW"/>
    <x v="1"/>
    <m/>
    <x v="5"/>
    <s v="Prakash Rikhilal"/>
    <s v="Yes"/>
    <s v="Yes"/>
    <x v="1"/>
    <s v="Yes"/>
    <m/>
    <m/>
    <m/>
    <m/>
    <m/>
    <n v="356"/>
    <d v="2023-10-15T00:00:00"/>
    <s v="TBD"/>
    <x v="1"/>
    <s v=""/>
    <x v="1"/>
    <m/>
  </r>
  <r>
    <x v="1"/>
    <s v="VT"/>
    <s v="Infrastructure"/>
    <s v="SOW"/>
    <x v="2"/>
    <m/>
    <x v="6"/>
    <s v="Prakash Rikhilal"/>
    <s v="Yes"/>
    <m/>
    <x v="1"/>
    <s v="Yes"/>
    <m/>
    <s v="Monthly"/>
    <m/>
    <n v="13410"/>
    <n v="160920"/>
    <n v="222"/>
    <d v="2022-06-27T00:00:00"/>
    <n v="12"/>
    <x v="2"/>
    <n v="-808"/>
    <x v="0"/>
    <m/>
  </r>
  <r>
    <x v="1"/>
    <s v="VNA"/>
    <s v="Infrastructure"/>
    <s v="SOW"/>
    <x v="2"/>
    <m/>
    <x v="7"/>
    <s v="Prakash Rikhilal"/>
    <s v="Yes"/>
    <m/>
    <x v="1"/>
    <s v="Yes"/>
    <m/>
    <s v="Block of Hours"/>
    <m/>
    <n v="9000"/>
    <n v="108000"/>
    <s v="40 hrs/week"/>
    <d v="2023-02-15T00:00:00"/>
    <n v="12"/>
    <x v="3"/>
    <n v="-575"/>
    <x v="0"/>
    <m/>
  </r>
  <r>
    <x v="1"/>
    <s v="VNA"/>
    <s v="Infrastructure"/>
    <s v="SOW"/>
    <x v="2"/>
    <m/>
    <x v="8"/>
    <s v="Prakash Rikhilal"/>
    <s v="Yes"/>
    <s v="Yes"/>
    <x v="1"/>
    <s v="Yes"/>
    <s v="PO22-24864"/>
    <m/>
    <m/>
    <m/>
    <m/>
    <m/>
    <d v="2023-07-01T00:00:00"/>
    <n v="6"/>
    <x v="4"/>
    <n v="-620"/>
    <x v="0"/>
    <m/>
  </r>
  <r>
    <x v="1"/>
    <s v="VNA"/>
    <s v="Infrastructure"/>
    <s v="SOW"/>
    <x v="3"/>
    <m/>
    <x v="9"/>
    <s v="-"/>
    <m/>
    <m/>
    <x v="0"/>
    <m/>
    <m/>
    <m/>
    <m/>
    <m/>
    <m/>
    <m/>
    <m/>
    <m/>
    <x v="0"/>
    <n v="-45912"/>
    <x v="0"/>
    <m/>
  </r>
  <r>
    <x v="1"/>
    <s v="VNA"/>
    <s v="Infrastructure"/>
    <s v="SOW"/>
    <x v="2"/>
    <m/>
    <x v="10"/>
    <s v="Prakash Rikhilal"/>
    <s v="Yes"/>
    <s v="Yes"/>
    <x v="1"/>
    <m/>
    <m/>
    <m/>
    <m/>
    <m/>
    <m/>
    <m/>
    <d v="2024-01-01T00:00:00"/>
    <s v="TBD"/>
    <x v="5"/>
    <n v="-254"/>
    <x v="0"/>
    <m/>
  </r>
  <r>
    <x v="1"/>
    <s v="VNA"/>
    <s v="Infrastructure"/>
    <s v="SOW"/>
    <x v="2"/>
    <m/>
    <x v="11"/>
    <s v="-"/>
    <m/>
    <m/>
    <x v="0"/>
    <m/>
    <m/>
    <m/>
    <m/>
    <m/>
    <m/>
    <m/>
    <m/>
    <m/>
    <x v="0"/>
    <n v="-45912"/>
    <x v="0"/>
    <m/>
  </r>
  <r>
    <x v="1"/>
    <s v="VNA"/>
    <s v="Infrastructure"/>
    <s v="SOW"/>
    <x v="1"/>
    <m/>
    <x v="12"/>
    <s v="-"/>
    <m/>
    <m/>
    <x v="0"/>
    <m/>
    <m/>
    <m/>
    <m/>
    <m/>
    <m/>
    <m/>
    <m/>
    <m/>
    <x v="0"/>
    <n v="-45912"/>
    <x v="0"/>
    <m/>
  </r>
  <r>
    <x v="1"/>
    <s v="VNA"/>
    <s v="Infrastructure"/>
    <s v="SOW"/>
    <x v="1"/>
    <m/>
    <x v="10"/>
    <s v="-"/>
    <m/>
    <m/>
    <x v="0"/>
    <m/>
    <m/>
    <m/>
    <m/>
    <m/>
    <m/>
    <m/>
    <m/>
    <m/>
    <x v="0"/>
    <n v="-45912"/>
    <x v="0"/>
    <m/>
  </r>
  <r>
    <x v="1"/>
    <s v="VNA"/>
    <s v="Infrastructure"/>
    <s v="SOW"/>
    <x v="2"/>
    <m/>
    <x v="13"/>
    <s v="-"/>
    <s v="Yes"/>
    <s v="Yes"/>
    <x v="0"/>
    <m/>
    <m/>
    <m/>
    <m/>
    <m/>
    <m/>
    <m/>
    <d v="2025-04-04T00:00:00"/>
    <m/>
    <x v="0"/>
    <n v="-45912"/>
    <x v="0"/>
    <m/>
  </r>
  <r>
    <x v="1"/>
    <s v="VNA"/>
    <s v="Infrastructure"/>
    <s v="SOW"/>
    <x v="2"/>
    <m/>
    <x v="14"/>
    <s v="-"/>
    <s v="Yes"/>
    <s v="Yes"/>
    <x v="0"/>
    <m/>
    <m/>
    <m/>
    <m/>
    <m/>
    <m/>
    <m/>
    <m/>
    <m/>
    <x v="0"/>
    <n v="-45912"/>
    <x v="0"/>
    <m/>
  </r>
  <r>
    <x v="1"/>
    <s v="VNA"/>
    <s v="Infrastructure"/>
    <s v="SOW"/>
    <x v="1"/>
    <m/>
    <x v="15"/>
    <s v="-"/>
    <m/>
    <m/>
    <x v="0"/>
    <m/>
    <m/>
    <m/>
    <m/>
    <m/>
    <m/>
    <m/>
    <m/>
    <m/>
    <x v="0"/>
    <n v="-45912"/>
    <x v="0"/>
    <m/>
  </r>
  <r>
    <x v="1"/>
    <s v="VNA"/>
    <s v="Infrastructure"/>
    <s v="SOW"/>
    <x v="2"/>
    <m/>
    <x v="11"/>
    <s v="Prakash Rikhilal"/>
    <s v="Yes"/>
    <s v="Yes"/>
    <x v="1"/>
    <m/>
    <m/>
    <m/>
    <m/>
    <m/>
    <m/>
    <m/>
    <d v="2024-01-01T00:00:00"/>
    <s v="TBD"/>
    <x v="6"/>
    <n v="-255"/>
    <x v="0"/>
    <m/>
  </r>
  <r>
    <x v="1"/>
    <s v="VNA"/>
    <s v="Infrastructure"/>
    <s v="SOW"/>
    <x v="2"/>
    <m/>
    <x v="15"/>
    <s v="Prakash Rikhilal"/>
    <s v="Yes"/>
    <s v="Yes"/>
    <x v="1"/>
    <m/>
    <m/>
    <m/>
    <m/>
    <m/>
    <m/>
    <m/>
    <d v="2024-03-01T00:00:00"/>
    <n v="10"/>
    <x v="6"/>
    <n v="-255"/>
    <x v="0"/>
    <m/>
  </r>
  <r>
    <x v="1"/>
    <s v="VNA"/>
    <s v="Infrastructure"/>
    <s v="SOW"/>
    <x v="2"/>
    <m/>
    <x v="16"/>
    <s v="Prakash Rikhilal"/>
    <s v="Yes"/>
    <s v="Yes"/>
    <x v="1"/>
    <s v="Need PO "/>
    <m/>
    <m/>
    <m/>
    <m/>
    <m/>
    <m/>
    <d v="2024-07-01T00:00:00"/>
    <n v="6"/>
    <x v="5"/>
    <n v="-254"/>
    <x v="0"/>
    <m/>
  </r>
  <r>
    <x v="1"/>
    <s v="VNA"/>
    <s v="Infrastructure"/>
    <s v="SOW"/>
    <x v="0"/>
    <m/>
    <x v="17"/>
    <s v="Prakash Rikhilal"/>
    <s v="Yes"/>
    <s v="Yes"/>
    <x v="0"/>
    <m/>
    <m/>
    <m/>
    <m/>
    <m/>
    <m/>
    <m/>
    <m/>
    <m/>
    <x v="0"/>
    <n v="-45912"/>
    <x v="0"/>
    <m/>
  </r>
  <r>
    <x v="1"/>
    <s v="VNA"/>
    <s v="Infrastructure"/>
    <s v="SOW"/>
    <x v="1"/>
    <d v="2025-07-07T00:00:00"/>
    <x v="18"/>
    <s v="-"/>
    <s v="Yes"/>
    <s v="Yes"/>
    <x v="0"/>
    <m/>
    <m/>
    <m/>
    <m/>
    <m/>
    <m/>
    <m/>
    <m/>
    <m/>
    <x v="0"/>
    <n v="-45912"/>
    <x v="0"/>
    <m/>
  </r>
  <r>
    <x v="1"/>
    <s v="VNA"/>
    <s v="Infrastructure"/>
    <s v="SOW"/>
    <x v="1"/>
    <d v="2025-06-30T00:00:00"/>
    <x v="19"/>
    <s v="-"/>
    <m/>
    <m/>
    <x v="0"/>
    <m/>
    <m/>
    <m/>
    <m/>
    <m/>
    <m/>
    <m/>
    <m/>
    <m/>
    <x v="0"/>
    <n v="-45912"/>
    <x v="0"/>
    <m/>
  </r>
  <r>
    <x v="2"/>
    <s v="VNA"/>
    <s v="Infrastructure"/>
    <s v="SOW"/>
    <x v="2"/>
    <m/>
    <x v="20"/>
    <s v="Kevin Hostintler"/>
    <s v="Yes"/>
    <m/>
    <x v="2"/>
    <m/>
    <m/>
    <s v="-"/>
    <m/>
    <m/>
    <m/>
    <s v="135/hour"/>
    <d v="2022-06-01T00:00:00"/>
    <s v="ON-GOING"/>
    <x v="1"/>
    <s v=""/>
    <x v="1"/>
    <m/>
  </r>
  <r>
    <x v="3"/>
    <s v="VNA"/>
    <s v="Infrastructure"/>
    <s v="SOW"/>
    <x v="2"/>
    <m/>
    <x v="21"/>
    <s v="Christina Green"/>
    <s v="Yes"/>
    <m/>
    <x v="2"/>
    <m/>
    <m/>
    <s v="Monthly"/>
    <m/>
    <n v="4500"/>
    <m/>
    <n v="30"/>
    <d v="2019-01-01T00:00:00"/>
    <s v="ON-GOING"/>
    <x v="1"/>
    <s v=""/>
    <x v="1"/>
    <m/>
  </r>
  <r>
    <x v="4"/>
    <s v="VNA"/>
    <s v="Development"/>
    <s v="SOW"/>
    <x v="1"/>
    <m/>
    <x v="22"/>
    <s v="Gabriela Codina"/>
    <s v="Yes"/>
    <s v="Yes"/>
    <x v="3"/>
    <m/>
    <m/>
    <m/>
    <m/>
    <m/>
    <m/>
    <m/>
    <d v="2024-04-30T00:00:00"/>
    <n v="16"/>
    <x v="7"/>
    <n v="-12"/>
    <x v="0"/>
    <m/>
  </r>
  <r>
    <x v="4"/>
    <m/>
    <m/>
    <m/>
    <x v="0"/>
    <m/>
    <x v="0"/>
    <s v="-"/>
    <m/>
    <m/>
    <x v="0"/>
    <m/>
    <m/>
    <m/>
    <m/>
    <m/>
    <m/>
    <m/>
    <m/>
    <m/>
    <x v="0"/>
    <n v="-45912"/>
    <x v="0"/>
    <m/>
  </r>
  <r>
    <x v="4"/>
    <m/>
    <m/>
    <m/>
    <x v="0"/>
    <m/>
    <x v="0"/>
    <s v="-"/>
    <m/>
    <m/>
    <x v="0"/>
    <m/>
    <m/>
    <m/>
    <m/>
    <m/>
    <m/>
    <m/>
    <m/>
    <m/>
    <x v="0"/>
    <n v="-45912"/>
    <x v="0"/>
    <m/>
  </r>
  <r>
    <x v="5"/>
    <s v="VNA"/>
    <s v="Infrastructure"/>
    <s v="SOW"/>
    <x v="2"/>
    <m/>
    <x v="23"/>
    <s v="Roger Santone"/>
    <s v="Yes"/>
    <m/>
    <x v="4"/>
    <m/>
    <m/>
    <s v="Monthly"/>
    <m/>
    <n v="5000"/>
    <n v="60000"/>
    <n v="30"/>
    <d v="2022-07-01T00:00:00"/>
    <n v="11"/>
    <x v="8"/>
    <n v="-805"/>
    <x v="0"/>
    <m/>
  </r>
  <r>
    <x v="6"/>
    <s v="VNA"/>
    <s v="Development"/>
    <s v="SOW"/>
    <x v="2"/>
    <m/>
    <x v="24"/>
    <s v="-"/>
    <s v="Yes"/>
    <s v="Yes"/>
    <x v="0"/>
    <m/>
    <m/>
    <m/>
    <m/>
    <m/>
    <m/>
    <m/>
    <m/>
    <m/>
    <x v="0"/>
    <n v="-45912"/>
    <x v="0"/>
    <m/>
  </r>
  <r>
    <x v="6"/>
    <s v="VNA"/>
    <s v="Development"/>
    <s v="Change Order"/>
    <x v="1"/>
    <m/>
    <x v="25"/>
    <s v="-"/>
    <s v="Yes"/>
    <s v="Yes"/>
    <x v="0"/>
    <m/>
    <m/>
    <m/>
    <m/>
    <m/>
    <m/>
    <m/>
    <m/>
    <m/>
    <x v="0"/>
    <n v="-45912"/>
    <x v="0"/>
    <m/>
  </r>
  <r>
    <x v="6"/>
    <s v="VNA"/>
    <s v="Development"/>
    <s v="SOW"/>
    <x v="2"/>
    <m/>
    <x v="26"/>
    <s v="-"/>
    <s v="Yes"/>
    <s v="Yes"/>
    <x v="0"/>
    <m/>
    <m/>
    <m/>
    <m/>
    <m/>
    <m/>
    <m/>
    <m/>
    <m/>
    <x v="0"/>
    <n v="-45912"/>
    <x v="0"/>
    <m/>
  </r>
  <r>
    <x v="6"/>
    <s v="VNA"/>
    <s v="Development"/>
    <s v="Change Order"/>
    <x v="1"/>
    <m/>
    <x v="27"/>
    <s v="-"/>
    <s v="Yes"/>
    <s v="Yes"/>
    <x v="1"/>
    <m/>
    <m/>
    <m/>
    <m/>
    <m/>
    <m/>
    <n v="80"/>
    <d v="2024-12-10T00:00:00"/>
    <n v="12"/>
    <x v="0"/>
    <n v="-45912"/>
    <x v="0"/>
    <m/>
  </r>
  <r>
    <x v="6"/>
    <s v="VNA"/>
    <s v="Development"/>
    <s v="Change Order"/>
    <x v="1"/>
    <m/>
    <x v="28"/>
    <s v="-"/>
    <m/>
    <m/>
    <x v="1"/>
    <m/>
    <m/>
    <m/>
    <m/>
    <m/>
    <m/>
    <m/>
    <d v="2024-08-02T00:00:00"/>
    <m/>
    <x v="0"/>
    <n v="-45912"/>
    <x v="0"/>
    <m/>
  </r>
  <r>
    <x v="6"/>
    <s v="VNA"/>
    <s v="Development"/>
    <s v="SOW"/>
    <x v="1"/>
    <m/>
    <x v="29"/>
    <s v="Roger Santone"/>
    <s v="Yes"/>
    <s v="Yes"/>
    <x v="3"/>
    <m/>
    <m/>
    <m/>
    <m/>
    <m/>
    <m/>
    <n v="80"/>
    <d v="2023-07-11T00:00:00"/>
    <s v="TBD"/>
    <x v="1"/>
    <s v=""/>
    <x v="1"/>
    <m/>
  </r>
  <r>
    <x v="6"/>
    <s v="VT"/>
    <s v="Development"/>
    <s v="SOW"/>
    <x v="2"/>
    <d v="2025-02-11T00:00:00"/>
    <x v="30"/>
    <s v="-"/>
    <s v="Yes"/>
    <s v="Yes"/>
    <x v="1"/>
    <m/>
    <m/>
    <m/>
    <m/>
    <m/>
    <m/>
    <m/>
    <m/>
    <n v="12"/>
    <x v="0"/>
    <n v="-45912"/>
    <x v="0"/>
    <m/>
  </r>
  <r>
    <x v="6"/>
    <s v="VNA"/>
    <s v="Development"/>
    <s v="SOW"/>
    <x v="1"/>
    <m/>
    <x v="31"/>
    <s v="Roger Santone"/>
    <s v="Yes"/>
    <s v="Yes"/>
    <x v="3"/>
    <m/>
    <m/>
    <m/>
    <m/>
    <m/>
    <m/>
    <m/>
    <d v="2023-08-22T00:00:00"/>
    <s v="TBD"/>
    <x v="1"/>
    <s v=""/>
    <x v="1"/>
    <m/>
  </r>
  <r>
    <x v="6"/>
    <s v="VT"/>
    <s v="Development"/>
    <s v="SOW"/>
    <x v="1"/>
    <m/>
    <x v="32"/>
    <s v="-"/>
    <s v="Yes"/>
    <s v="Yes"/>
    <x v="1"/>
    <m/>
    <m/>
    <m/>
    <m/>
    <m/>
    <m/>
    <m/>
    <s v="**"/>
    <n v="36"/>
    <x v="0"/>
    <n v="-45912"/>
    <x v="0"/>
    <m/>
  </r>
  <r>
    <x v="6"/>
    <s v="VNA"/>
    <s v="Development"/>
    <s v="Change Order"/>
    <x v="1"/>
    <m/>
    <x v="33"/>
    <s v="Roger Santone"/>
    <s v="Yes"/>
    <s v="Yes"/>
    <x v="3"/>
    <m/>
    <m/>
    <s v="Block of Hours"/>
    <m/>
    <m/>
    <n v="21000"/>
    <n v="120"/>
    <d v="2024-08-19T00:00:00"/>
    <s v="TBD"/>
    <x v="1"/>
    <s v=""/>
    <x v="1"/>
    <m/>
  </r>
  <r>
    <x v="6"/>
    <s v="VNA"/>
    <s v="Development"/>
    <s v="SOW"/>
    <x v="1"/>
    <m/>
    <x v="34"/>
    <s v="Roger Santone"/>
    <s v="Yes"/>
    <s v="Yes"/>
    <x v="3"/>
    <s v="Yes"/>
    <m/>
    <s v="Monthly"/>
    <m/>
    <m/>
    <m/>
    <m/>
    <d v="2024-09-01T00:00:00"/>
    <n v="36"/>
    <x v="9"/>
    <n v="719"/>
    <x v="1"/>
    <m/>
  </r>
  <r>
    <x v="6"/>
    <s v="VNA"/>
    <s v="Development"/>
    <s v="SOW"/>
    <x v="1"/>
    <m/>
    <x v="35"/>
    <s v="Roger Santone"/>
    <s v="Yes"/>
    <s v="Yes"/>
    <x v="3"/>
    <m/>
    <m/>
    <m/>
    <m/>
    <m/>
    <m/>
    <m/>
    <s v="***"/>
    <m/>
    <x v="1"/>
    <s v=""/>
    <x v="1"/>
    <m/>
  </r>
  <r>
    <x v="6"/>
    <s v="VNA"/>
    <s v="Development"/>
    <s v="SOW"/>
    <x v="1"/>
    <m/>
    <x v="36"/>
    <s v="Roger Santone"/>
    <s v="Yes"/>
    <s v="Yes"/>
    <x v="3"/>
    <m/>
    <m/>
    <s v="Monthly"/>
    <s v="-"/>
    <n v="12250"/>
    <n v="147000"/>
    <n v="192"/>
    <d v="2023-04-17T00:00:00"/>
    <n v="12"/>
    <x v="10"/>
    <n v="-513"/>
    <x v="0"/>
    <m/>
  </r>
  <r>
    <x v="6"/>
    <s v="VNA"/>
    <s v="Development"/>
    <s v="SOW"/>
    <x v="1"/>
    <m/>
    <x v="37"/>
    <s v="Roger Santone"/>
    <s v="Yes"/>
    <s v="Yes"/>
    <x v="3"/>
    <s v="Yes"/>
    <m/>
    <m/>
    <m/>
    <m/>
    <m/>
    <m/>
    <d v="2023-08-14T00:00:00"/>
    <s v="TBD"/>
    <x v="11"/>
    <n v="-377"/>
    <x v="0"/>
    <m/>
  </r>
  <r>
    <x v="6"/>
    <s v="VNA"/>
    <s v="Development"/>
    <s v="SOW"/>
    <x v="1"/>
    <m/>
    <x v="38"/>
    <s v="Roger Santone"/>
    <s v="Yes"/>
    <s v="Yes"/>
    <x v="3"/>
    <m/>
    <m/>
    <m/>
    <m/>
    <m/>
    <m/>
    <m/>
    <d v="2023-08-14T00:00:00"/>
    <s v="TBD"/>
    <x v="6"/>
    <n v="-255"/>
    <x v="0"/>
    <m/>
  </r>
  <r>
    <x v="6"/>
    <s v="VNA"/>
    <s v="Development"/>
    <s v="SOW"/>
    <x v="1"/>
    <m/>
    <x v="39"/>
    <s v="Roger Santone"/>
    <s v="Yes"/>
    <s v="Yes"/>
    <x v="3"/>
    <m/>
    <m/>
    <m/>
    <m/>
    <m/>
    <m/>
    <m/>
    <d v="2024-08-07T00:00:00"/>
    <s v="TBD"/>
    <x v="6"/>
    <n v="-255"/>
    <x v="0"/>
    <m/>
  </r>
  <r>
    <x v="6"/>
    <s v="VNA"/>
    <s v="Development"/>
    <s v="SOW"/>
    <x v="2"/>
    <m/>
    <x v="40"/>
    <s v="Paul??"/>
    <s v="Yes"/>
    <s v="Yes"/>
    <x v="3"/>
    <m/>
    <m/>
    <m/>
    <m/>
    <m/>
    <m/>
    <m/>
    <d v="2024-04-17T00:00:00"/>
    <n v="12"/>
    <x v="12"/>
    <n v="-135"/>
    <x v="0"/>
    <m/>
  </r>
  <r>
    <x v="6"/>
    <m/>
    <m/>
    <s v="SOW"/>
    <x v="1"/>
    <m/>
    <x v="41"/>
    <s v="Roger Santone"/>
    <s v="Yes"/>
    <s v="Yes"/>
    <x v="3"/>
    <m/>
    <m/>
    <m/>
    <m/>
    <m/>
    <m/>
    <m/>
    <d v="2023-08-22T00:00:00"/>
    <m/>
    <x v="13"/>
    <n v="-752"/>
    <x v="0"/>
    <m/>
  </r>
  <r>
    <x v="6"/>
    <s v="VT"/>
    <s v="Infrastructure"/>
    <s v="SOW"/>
    <x v="2"/>
    <d v="2025-05-25T00:00:00"/>
    <x v="42"/>
    <s v="-"/>
    <s v="Yes"/>
    <s v="Yes"/>
    <x v="0"/>
    <m/>
    <m/>
    <m/>
    <m/>
    <m/>
    <m/>
    <m/>
    <d v="2025-05-01T00:00:00"/>
    <m/>
    <x v="14"/>
    <n v="-134"/>
    <x v="0"/>
    <m/>
  </r>
  <r>
    <x v="6"/>
    <s v="VT"/>
    <s v="Project Management"/>
    <s v="SOW"/>
    <x v="1"/>
    <m/>
    <x v="43"/>
    <s v="Roger Santone"/>
    <s v="Yes"/>
    <s v="Yes"/>
    <x v="3"/>
    <m/>
    <m/>
    <m/>
    <m/>
    <m/>
    <m/>
    <m/>
    <d v="2024-12-08T00:00:00"/>
    <s v="TBD"/>
    <x v="15"/>
    <n v="-530"/>
    <x v="0"/>
    <m/>
  </r>
  <r>
    <x v="7"/>
    <s v="VNA"/>
    <s v="Infrastructure"/>
    <s v="SOW"/>
    <x v="1"/>
    <d v="2025-01-03T00:00:00"/>
    <x v="44"/>
    <n v="0"/>
    <s v="Yes"/>
    <s v="Yes"/>
    <x v="0"/>
    <m/>
    <m/>
    <m/>
    <m/>
    <m/>
    <m/>
    <m/>
    <d v="2025-01-01T00:00:00"/>
    <n v="3"/>
    <x v="16"/>
    <n v="-164"/>
    <x v="0"/>
    <m/>
  </r>
  <r>
    <x v="8"/>
    <s v="VNA"/>
    <s v="Infrastructure"/>
    <s v="SOW"/>
    <x v="1"/>
    <m/>
    <x v="45"/>
    <n v="0"/>
    <s v="No"/>
    <m/>
    <x v="5"/>
    <m/>
    <m/>
    <m/>
    <m/>
    <m/>
    <m/>
    <m/>
    <d v="2023-04-20T00:00:00"/>
    <m/>
    <x v="17"/>
    <n v="-876"/>
    <x v="0"/>
    <m/>
  </r>
  <r>
    <x v="9"/>
    <s v="VNA"/>
    <s v="Development"/>
    <s v="SOW"/>
    <x v="1"/>
    <m/>
    <x v="46"/>
    <n v="0"/>
    <s v="Yes"/>
    <m/>
    <x v="4"/>
    <m/>
    <m/>
    <m/>
    <m/>
    <m/>
    <m/>
    <m/>
    <d v="2023-03-27T00:00:00"/>
    <n v="2"/>
    <x v="18"/>
    <n v="-839"/>
    <x v="0"/>
    <m/>
  </r>
  <r>
    <x v="10"/>
    <m/>
    <m/>
    <m/>
    <x v="0"/>
    <m/>
    <x v="0"/>
    <s v="-"/>
    <m/>
    <m/>
    <x v="0"/>
    <m/>
    <m/>
    <m/>
    <m/>
    <m/>
    <m/>
    <m/>
    <m/>
    <m/>
    <x v="0"/>
    <n v="-45912"/>
    <x v="0"/>
    <m/>
  </r>
  <r>
    <x v="11"/>
    <s v="VNA"/>
    <m/>
    <s v="PO"/>
    <x v="1"/>
    <m/>
    <x v="47"/>
    <n v="0"/>
    <s v="No"/>
    <m/>
    <x v="2"/>
    <m/>
    <s v="F3RKHXJ"/>
    <m/>
    <m/>
    <m/>
    <m/>
    <m/>
    <m/>
    <m/>
    <x v="0"/>
    <n v="-45912"/>
    <x v="0"/>
    <m/>
  </r>
  <r>
    <x v="12"/>
    <s v="VNA"/>
    <s v="Infrastructure"/>
    <s v="SOW"/>
    <x v="1"/>
    <m/>
    <x v="48"/>
    <n v="0"/>
    <s v="No"/>
    <m/>
    <x v="1"/>
    <m/>
    <m/>
    <s v="Monthly"/>
    <m/>
    <m/>
    <m/>
    <n v="100"/>
    <d v="2022-10-01T00:00:00"/>
    <n v="24"/>
    <x v="19"/>
    <n v="-346"/>
    <x v="0"/>
    <m/>
  </r>
  <r>
    <x v="13"/>
    <s v="VT"/>
    <s v="Infrastructure"/>
    <s v="SOW"/>
    <x v="4"/>
    <m/>
    <x v="49"/>
    <n v="0"/>
    <s v="Yes"/>
    <s v="No"/>
    <x v="5"/>
    <m/>
    <m/>
    <m/>
    <m/>
    <m/>
    <m/>
    <m/>
    <d v="2024-07-22T00:00:00"/>
    <s v="ON-GOING"/>
    <x v="1"/>
    <s v=""/>
    <x v="1"/>
    <m/>
  </r>
  <r>
    <x v="14"/>
    <s v="VNA"/>
    <s v="Development"/>
    <s v="SOW"/>
    <x v="1"/>
    <m/>
    <x v="50"/>
    <n v="0"/>
    <s v="Yes"/>
    <m/>
    <x v="4"/>
    <m/>
    <m/>
    <m/>
    <m/>
    <m/>
    <m/>
    <m/>
    <d v="2022-12-06T00:00:00"/>
    <n v="12"/>
    <x v="20"/>
    <n v="-646"/>
    <x v="0"/>
    <m/>
  </r>
  <r>
    <x v="14"/>
    <s v="VNA"/>
    <s v="Development"/>
    <s v="SOW"/>
    <x v="1"/>
    <m/>
    <x v="51"/>
    <n v="0"/>
    <s v="Yes"/>
    <m/>
    <x v="4"/>
    <m/>
    <m/>
    <m/>
    <m/>
    <m/>
    <m/>
    <m/>
    <d v="2022-12-12T00:00:00"/>
    <n v="12"/>
    <x v="21"/>
    <n v="-640"/>
    <x v="0"/>
    <s v="Optional Year 1 (if excersised) 12 December 2023 – 11 December 2024"/>
  </r>
  <r>
    <x v="14"/>
    <s v="VNA"/>
    <s v="Development"/>
    <s v="SOW"/>
    <x v="3"/>
    <m/>
    <x v="52"/>
    <n v="0"/>
    <s v="Yes"/>
    <m/>
    <x v="1"/>
    <m/>
    <m/>
    <s v="Monthly"/>
    <m/>
    <m/>
    <m/>
    <n v="1120"/>
    <d v="2022-12-06T00:00:00"/>
    <n v="24"/>
    <x v="22"/>
    <n v="-280"/>
    <x v="0"/>
    <m/>
  </r>
  <r>
    <x v="14"/>
    <m/>
    <m/>
    <m/>
    <x v="5"/>
    <m/>
    <x v="53"/>
    <n v="0"/>
    <s v="No"/>
    <s v="No"/>
    <x v="1"/>
    <m/>
    <m/>
    <m/>
    <m/>
    <m/>
    <m/>
    <m/>
    <m/>
    <m/>
    <x v="0"/>
    <n v="-45912"/>
    <x v="0"/>
    <m/>
  </r>
  <r>
    <x v="15"/>
    <s v="VNA"/>
    <s v="Development"/>
    <s v="SOW"/>
    <x v="2"/>
    <m/>
    <x v="54"/>
    <n v="0"/>
    <s v="Yes"/>
    <m/>
    <x v="4"/>
    <m/>
    <m/>
    <m/>
    <m/>
    <m/>
    <m/>
    <n v="48"/>
    <d v="2022-03-25T00:00:00"/>
    <n v="12"/>
    <x v="23"/>
    <n v="-902"/>
    <x v="0"/>
    <m/>
  </r>
  <r>
    <x v="15"/>
    <s v="VNA"/>
    <s v="Development"/>
    <s v="SOW"/>
    <x v="2"/>
    <m/>
    <x v="55"/>
    <n v="0"/>
    <s v="Yes"/>
    <m/>
    <x v="2"/>
    <m/>
    <m/>
    <m/>
    <m/>
    <m/>
    <m/>
    <m/>
    <d v="2020-11-01T00:00:00"/>
    <s v="ON-GOING"/>
    <x v="1"/>
    <s v=""/>
    <x v="1"/>
    <m/>
  </r>
  <r>
    <x v="16"/>
    <m/>
    <m/>
    <s v="SOW"/>
    <x v="1"/>
    <m/>
    <x v="56"/>
    <n v="0"/>
    <s v="Yes"/>
    <m/>
    <x v="2"/>
    <m/>
    <m/>
    <m/>
    <m/>
    <m/>
    <m/>
    <m/>
    <d v="2021-07-01T00:00:00"/>
    <s v="ON-GOING"/>
    <x v="1"/>
    <s v=""/>
    <x v="1"/>
    <m/>
  </r>
  <r>
    <x v="17"/>
    <s v="VNA"/>
    <s v="Development"/>
    <s v="SOW"/>
    <x v="1"/>
    <m/>
    <x v="57"/>
    <s v="n/a"/>
    <s v="No"/>
    <s v="No"/>
    <x v="3"/>
    <m/>
    <m/>
    <m/>
    <m/>
    <m/>
    <m/>
    <m/>
    <d v="2024-03-18T00:00:00"/>
    <s v="TBD"/>
    <x v="1"/>
    <s v=""/>
    <x v="1"/>
    <m/>
  </r>
  <r>
    <x v="18"/>
    <s v="VT"/>
    <s v="Infrastructure"/>
    <s v="Change Order"/>
    <x v="2"/>
    <m/>
    <x v="58"/>
    <n v="0"/>
    <s v="Yes"/>
    <m/>
    <x v="3"/>
    <m/>
    <m/>
    <m/>
    <m/>
    <m/>
    <m/>
    <m/>
    <d v="2023-07-10T00:00:00"/>
    <m/>
    <x v="24"/>
    <n v="-795"/>
    <x v="0"/>
    <s v="Revision in scope for Clario Managed Services agreement specific to monitored _x000a_components: "/>
  </r>
  <r>
    <x v="18"/>
    <s v="VT"/>
    <s v="Infrastructure"/>
    <s v="Change Order"/>
    <x v="2"/>
    <m/>
    <x v="59"/>
    <n v="0"/>
    <s v="Yes"/>
    <m/>
    <x v="3"/>
    <m/>
    <m/>
    <m/>
    <m/>
    <m/>
    <m/>
    <m/>
    <d v="2022-10-14T00:00:00"/>
    <n v="36"/>
    <x v="25"/>
    <n v="32"/>
    <x v="0"/>
    <m/>
  </r>
  <r>
    <x v="18"/>
    <s v="VT"/>
    <s v="Infrastructure"/>
    <s v="SOW"/>
    <x v="2"/>
    <m/>
    <x v="60"/>
    <n v="0"/>
    <s v="Yes"/>
    <m/>
    <x v="3"/>
    <s v="Yes"/>
    <n v="101102037"/>
    <s v="Monthly"/>
    <m/>
    <m/>
    <m/>
    <s v="50 Hrs/Quarter"/>
    <d v="2022-10-14T00:00:00"/>
    <n v="36"/>
    <x v="25"/>
    <n v="32"/>
    <x v="0"/>
    <s v="Automatic Renewal after 36 months - 10/14/2025"/>
  </r>
  <r>
    <x v="19"/>
    <s v="VNA"/>
    <m/>
    <s v="SOW"/>
    <x v="2"/>
    <m/>
    <x v="61"/>
    <s v="Patricia Hammond"/>
    <s v="Yes"/>
    <s v="Yes"/>
    <x v="3"/>
    <m/>
    <m/>
    <m/>
    <m/>
    <m/>
    <m/>
    <m/>
    <d v="2023-10-01T00:00:00"/>
    <n v="36"/>
    <x v="26"/>
    <n v="384"/>
    <x v="1"/>
    <m/>
  </r>
  <r>
    <x v="19"/>
    <s v="VNA"/>
    <s v="Infrastructure"/>
    <s v="SOW"/>
    <x v="2"/>
    <m/>
    <x v="61"/>
    <n v="0"/>
    <s v="Yes"/>
    <s v="Yes"/>
    <x v="3"/>
    <m/>
    <s v="No"/>
    <s v="Monthly"/>
    <m/>
    <n v="4050"/>
    <n v="145800"/>
    <n v="40"/>
    <d v="2023-10-01T00:00:00"/>
    <n v="36"/>
    <x v="27"/>
    <n v="1440"/>
    <x v="1"/>
    <s v="3-Year Term"/>
  </r>
  <r>
    <x v="19"/>
    <s v="VNA"/>
    <s v="Infrastructure"/>
    <s v="SOW"/>
    <x v="2"/>
    <m/>
    <x v="62"/>
    <n v="0"/>
    <s v="Yes"/>
    <m/>
    <x v="4"/>
    <m/>
    <s v="No"/>
    <s v="Monthly"/>
    <m/>
    <m/>
    <m/>
    <m/>
    <d v="2019-09-01T00:00:00"/>
    <n v="24"/>
    <x v="28"/>
    <n v="-1472"/>
    <x v="0"/>
    <m/>
  </r>
  <r>
    <x v="20"/>
    <s v="VNA"/>
    <s v="Infrastructure"/>
    <s v="SOW"/>
    <x v="1"/>
    <m/>
    <x v="63"/>
    <n v="0"/>
    <s v="No"/>
    <m/>
    <x v="3"/>
    <m/>
    <n v="100550"/>
    <m/>
    <m/>
    <m/>
    <m/>
    <m/>
    <d v="2023-07-03T00:00:00"/>
    <n v="7.5"/>
    <x v="29"/>
    <n v="-562"/>
    <x v="0"/>
    <m/>
  </r>
  <r>
    <x v="21"/>
    <s v="VNA"/>
    <s v="Infrastructure"/>
    <s v="SOW"/>
    <x v="1"/>
    <m/>
    <x v="64"/>
    <n v="0"/>
    <s v="Yes"/>
    <m/>
    <x v="2"/>
    <m/>
    <m/>
    <s v="Monthly"/>
    <m/>
    <m/>
    <m/>
    <n v="1300"/>
    <d v="2021-11-12T00:00:00"/>
    <s v="ON-GOING"/>
    <x v="1"/>
    <s v=""/>
    <x v="1"/>
    <s v="Consultant will migrate client’s Oracle eBusiness Suite application and database currently residing on target entity (on-premises) application server and database server Dresser’s"/>
  </r>
  <r>
    <x v="21"/>
    <s v="VNA"/>
    <s v="Infrastructure"/>
    <s v="SOW"/>
    <x v="3"/>
    <m/>
    <x v="65"/>
    <n v="0"/>
    <s v="Yes"/>
    <m/>
    <x v="2"/>
    <s v="Yes"/>
    <s v="PO223602M"/>
    <s v="Custom"/>
    <m/>
    <m/>
    <n v="55440"/>
    <n v="112"/>
    <d v="2022-10-16T00:00:00"/>
    <m/>
    <x v="30"/>
    <n v="-1062"/>
    <x v="0"/>
    <m/>
  </r>
  <r>
    <x v="22"/>
    <m/>
    <m/>
    <m/>
    <x v="0"/>
    <m/>
    <x v="0"/>
    <n v="0"/>
    <m/>
    <m/>
    <x v="1"/>
    <m/>
    <m/>
    <m/>
    <m/>
    <m/>
    <m/>
    <m/>
    <m/>
    <m/>
    <x v="0"/>
    <n v="-45912"/>
    <x v="0"/>
    <m/>
  </r>
  <r>
    <x v="23"/>
    <s v="VNA"/>
    <s v="Development"/>
    <s v="Renewal"/>
    <x v="2"/>
    <d v="2023-04-14T00:00:00"/>
    <x v="66"/>
    <s v="-"/>
    <s v="Yes"/>
    <s v="Yes"/>
    <x v="0"/>
    <m/>
    <m/>
    <m/>
    <m/>
    <m/>
    <m/>
    <m/>
    <s v="Upon Issued PO"/>
    <m/>
    <x v="0"/>
    <n v="-45912"/>
    <x v="0"/>
    <m/>
  </r>
  <r>
    <x v="23"/>
    <s v="VNA"/>
    <s v="Development"/>
    <s v="Renewal"/>
    <x v="2"/>
    <m/>
    <x v="67"/>
    <n v="0"/>
    <s v="Yes"/>
    <s v="Yes"/>
    <x v="3"/>
    <m/>
    <m/>
    <m/>
    <m/>
    <m/>
    <m/>
    <s v="NA"/>
    <d v="2023-08-07T00:00:00"/>
    <s v="Annual"/>
    <x v="11"/>
    <n v="-377"/>
    <x v="0"/>
    <s v="the Dallas Independent School District issued an Award for the above-referenced Request for Proposal (RFP) and it will expire August 31, 2023. The Dallas Independent School District wishes, in accordance of the award and Viscosity North America RFP response, to extend the award through August 31, 2024. The extension includes the same terms and conditions of the original Award."/>
  </r>
  <r>
    <x v="23"/>
    <s v="VNA"/>
    <s v="Development"/>
    <s v="PO"/>
    <x v="2"/>
    <m/>
    <x v="68"/>
    <n v="0"/>
    <s v="No"/>
    <s v="Yes"/>
    <x v="3"/>
    <m/>
    <s v="2023 PO-924830"/>
    <m/>
    <m/>
    <m/>
    <m/>
    <m/>
    <d v="2023-06-07T00:00:00"/>
    <n v="12"/>
    <x v="31"/>
    <n v="-462"/>
    <x v="0"/>
    <m/>
  </r>
  <r>
    <x v="23"/>
    <s v="VNA"/>
    <s v="Infrastructure"/>
    <s v="SOW"/>
    <x v="2"/>
    <m/>
    <x v="69"/>
    <n v="0"/>
    <s v="No"/>
    <m/>
    <x v="4"/>
    <s v="Yes"/>
    <m/>
    <s v="Monthly"/>
    <m/>
    <m/>
    <m/>
    <n v="660"/>
    <d v="2023-04-14T00:00:00"/>
    <m/>
    <x v="32"/>
    <n v="-882"/>
    <x v="0"/>
    <s v="Upon completion of this statement of work (SOW), Consultant and Client deliver a design, documentation, updated, and working application of the BOS budget management system."/>
  </r>
  <r>
    <x v="23"/>
    <s v="VNA"/>
    <s v="Infrastructure"/>
    <s v="PO"/>
    <x v="1"/>
    <m/>
    <x v="70"/>
    <n v="0"/>
    <s v="No"/>
    <m/>
    <x v="2"/>
    <s v="Yes"/>
    <n v="862363"/>
    <s v="Custom"/>
    <m/>
    <m/>
    <m/>
    <n v="144"/>
    <d v="2022-03-29T00:00:00"/>
    <s v="ON-GOING"/>
    <x v="1"/>
    <s v=""/>
    <x v="1"/>
    <s v="Perform a license review of their current footprint for their E-Business Suite, application, and, and database tier."/>
  </r>
  <r>
    <x v="23"/>
    <s v="VNA"/>
    <s v="Infrastructure"/>
    <s v="SOW"/>
    <x v="1"/>
    <m/>
    <x v="71"/>
    <n v="0"/>
    <s v="Yes"/>
    <m/>
    <x v="1"/>
    <s v="Yes"/>
    <m/>
    <m/>
    <m/>
    <m/>
    <m/>
    <s v="150 Hrs/Quarter"/>
    <s v="Unknown"/>
    <n v="12"/>
    <x v="33"/>
    <n v="-439"/>
    <x v="0"/>
    <m/>
  </r>
  <r>
    <x v="23"/>
    <s v="VNA"/>
    <s v="Infrastructure"/>
    <s v="PO"/>
    <x v="6"/>
    <m/>
    <x v="72"/>
    <n v="0"/>
    <s v="Yes"/>
    <m/>
    <x v="3"/>
    <s v="Yes"/>
    <m/>
    <s v="Custom"/>
    <m/>
    <m/>
    <m/>
    <m/>
    <d v="2023-05-30T00:00:00"/>
    <n v="12"/>
    <x v="34"/>
    <n v="-470"/>
    <x v="0"/>
    <m/>
  </r>
  <r>
    <x v="23"/>
    <s v="VNA"/>
    <s v="Development"/>
    <s v="PO"/>
    <x v="1"/>
    <m/>
    <x v="73"/>
    <n v="0"/>
    <s v="No"/>
    <s v="Yes"/>
    <x v="3"/>
    <m/>
    <n v="933851"/>
    <m/>
    <m/>
    <m/>
    <m/>
    <m/>
    <d v="2023-10-01T00:00:00"/>
    <n v="12"/>
    <x v="35"/>
    <n v="-347"/>
    <x v="0"/>
    <m/>
  </r>
  <r>
    <x v="23"/>
    <s v="VNA"/>
    <s v="Infrastructure"/>
    <s v="PO"/>
    <x v="2"/>
    <m/>
    <x v="68"/>
    <n v="0"/>
    <s v="No"/>
    <m/>
    <x v="4"/>
    <s v="Yes"/>
    <m/>
    <s v="Custom"/>
    <m/>
    <m/>
    <m/>
    <n v="100"/>
    <d v="2020-01-01T00:00:00"/>
    <n v="24"/>
    <x v="36"/>
    <n v="-1350"/>
    <x v="0"/>
    <s v="Scope and Tasks:_x000d__x000a_The scope and requirements are categorized into these phases:_x000d__x000a_1. Support Hours (100 hours per Quarter)_x000d__x000a_2. Overage and Out-of-Scope Support"/>
  </r>
  <r>
    <x v="24"/>
    <s v="VNA"/>
    <s v="Development"/>
    <s v="PO"/>
    <x v="2"/>
    <m/>
    <x v="74"/>
    <s v="ramon.rammell@do_x000a_minionenergy.com "/>
    <s v="Yes"/>
    <s v="No"/>
    <x v="3"/>
    <s v="Yes"/>
    <n v="50162797"/>
    <s v="Monthly"/>
    <m/>
    <m/>
    <m/>
    <n v="2080"/>
    <d v="2022-06-30T00:00:00"/>
    <m/>
    <x v="37"/>
    <n v="-1170"/>
    <x v="0"/>
    <s v="12 Month- Staff Augmentation"/>
  </r>
  <r>
    <x v="24"/>
    <s v="VNA"/>
    <s v="Development"/>
    <s v="PO"/>
    <x v="2"/>
    <m/>
    <x v="75"/>
    <s v="ramon.rammell@do_x000a_minionenergy.com "/>
    <s v="Yes"/>
    <s v="No"/>
    <x v="3"/>
    <s v="Yes"/>
    <n v="50162702"/>
    <s v="Monthly"/>
    <m/>
    <m/>
    <m/>
    <n v="1040"/>
    <d v="2021-10-28T00:00:00"/>
    <m/>
    <x v="38"/>
    <n v="-1415"/>
    <x v="0"/>
    <s v="Oracle, APEX  and PL/SQL Support- SIX MONTH TERM"/>
  </r>
  <r>
    <x v="25"/>
    <s v="VNA"/>
    <s v="Development"/>
    <s v="SOW"/>
    <x v="1"/>
    <m/>
    <x v="76"/>
    <n v="0"/>
    <s v="Yes"/>
    <s v="Yes"/>
    <x v="3"/>
    <m/>
    <m/>
    <m/>
    <m/>
    <m/>
    <m/>
    <m/>
    <d v="2024-08-19T00:00:00"/>
    <n v="8"/>
    <x v="12"/>
    <n v="-135"/>
    <x v="0"/>
    <m/>
  </r>
  <r>
    <x v="26"/>
    <s v="VNA"/>
    <s v="Development"/>
    <s v="SOW"/>
    <x v="1"/>
    <m/>
    <x v="77"/>
    <n v="0"/>
    <s v="Yes"/>
    <s v="Yes"/>
    <x v="3"/>
    <m/>
    <m/>
    <m/>
    <m/>
    <m/>
    <m/>
    <m/>
    <d v="2025-08-16T00:00:00"/>
    <s v="TBD"/>
    <x v="1"/>
    <s v=""/>
    <x v="1"/>
    <m/>
  </r>
  <r>
    <x v="27"/>
    <s v="VNA"/>
    <s v="Development"/>
    <s v="SOW"/>
    <x v="1"/>
    <m/>
    <x v="78"/>
    <n v="0"/>
    <s v="Yes"/>
    <m/>
    <x v="4"/>
    <m/>
    <m/>
    <s v="Custom"/>
    <m/>
    <m/>
    <m/>
    <n v="60"/>
    <d v="2022-09-12T00:00:00"/>
    <n v="3"/>
    <x v="39"/>
    <n v="-986"/>
    <x v="0"/>
    <s v="Health Plan seeks to engage a supplier to provide practical experience using Oracle’s XML solution to review and provide recommendations on the solution proposed for the Consolidated Clinical Document"/>
  </r>
  <r>
    <x v="27"/>
    <s v="VNA"/>
    <s v="Development"/>
    <s v="SOW"/>
    <x v="1"/>
    <m/>
    <x v="79"/>
    <n v="0"/>
    <s v="Yes"/>
    <m/>
    <x v="4"/>
    <m/>
    <m/>
    <s v="Daily"/>
    <m/>
    <m/>
    <m/>
    <n v="640"/>
    <d v="2022-01-17T00:00:00"/>
    <n v="11"/>
    <x v="39"/>
    <n v="-986"/>
    <x v="0"/>
    <s v="Creation of 25 APEX forms"/>
  </r>
  <r>
    <x v="28"/>
    <s v="VT"/>
    <s v="Infrastructure"/>
    <s v="SOW"/>
    <x v="2"/>
    <m/>
    <x v="80"/>
    <n v="0"/>
    <s v="Yes"/>
    <m/>
    <x v="3"/>
    <m/>
    <m/>
    <s v="Monthly"/>
    <m/>
    <m/>
    <n v="479200"/>
    <s v="$2,000/month"/>
    <d v="2022-08-02T00:00:00"/>
    <s v="ON-GOING"/>
    <x v="1"/>
    <s v=""/>
    <x v="1"/>
    <m/>
  </r>
  <r>
    <x v="29"/>
    <s v="VT"/>
    <s v="Infrastructure"/>
    <s v="SOW"/>
    <x v="2"/>
    <m/>
    <x v="81"/>
    <n v="0"/>
    <s v="Yes"/>
    <m/>
    <x v="2"/>
    <m/>
    <m/>
    <s v="Monthly"/>
    <m/>
    <m/>
    <m/>
    <m/>
    <d v="2021-04-08T00:00:00"/>
    <s v="ON-GOING"/>
    <x v="1"/>
    <s v=""/>
    <x v="1"/>
    <s v="Upon completion of each environment, after load test successfully completes their run (if _x000a_applicable), Viscosity will submit an invoice to FNF for payment. Total project cost will not exceed _x000a_$479,200"/>
  </r>
  <r>
    <x v="29"/>
    <s v="VNA"/>
    <s v="Infrastructure"/>
    <s v="SOW"/>
    <x v="2"/>
    <m/>
    <x v="82"/>
    <n v="0"/>
    <s v="No"/>
    <m/>
    <x v="3"/>
    <m/>
    <m/>
    <s v="Monthly"/>
    <m/>
    <m/>
    <m/>
    <m/>
    <m/>
    <m/>
    <x v="0"/>
    <n v="-45912"/>
    <x v="0"/>
    <s v="Flat fee of $78K monthly"/>
  </r>
  <r>
    <x v="30"/>
    <s v="VNA"/>
    <s v="Infrastructure"/>
    <s v="Change Order"/>
    <x v="2"/>
    <m/>
    <x v="83"/>
    <s v="David Walker"/>
    <s v="Yes"/>
    <s v="Yes"/>
    <x v="3"/>
    <m/>
    <m/>
    <m/>
    <m/>
    <m/>
    <m/>
    <m/>
    <d v="2024-07-17T00:00:00"/>
    <n v="11"/>
    <x v="40"/>
    <n v="-87"/>
    <x v="0"/>
    <m/>
  </r>
  <r>
    <x v="30"/>
    <s v="VNA"/>
    <s v="Infrastructure"/>
    <s v="Change Order"/>
    <x v="2"/>
    <m/>
    <x v="84"/>
    <s v="David Walker"/>
    <s v="Yes"/>
    <s v="Yes"/>
    <x v="3"/>
    <m/>
    <m/>
    <m/>
    <m/>
    <m/>
    <n v="14000"/>
    <s v="80 Hrs"/>
    <s v="8/26/204"/>
    <n v="11"/>
    <x v="1"/>
    <s v=""/>
    <x v="1"/>
    <m/>
  </r>
  <r>
    <x v="31"/>
    <s v="VNA"/>
    <s v="Infrastructure"/>
    <s v="SOW"/>
    <x v="2"/>
    <m/>
    <x v="85"/>
    <s v="David Walker"/>
    <s v="Yes"/>
    <s v="Yes"/>
    <x v="3"/>
    <m/>
    <m/>
    <m/>
    <m/>
    <n v="3500"/>
    <m/>
    <s v="16 Hrs/Month"/>
    <d v="2024-06-01T00:00:00"/>
    <s v="ON-GOING"/>
    <x v="1"/>
    <s v=""/>
    <x v="1"/>
    <s v="Thereafter, this SOW shall automatically renew for successive one (1) year terms (each a “Renewal Term”) upon Client’s written approval. Fees upon renewal shall not increase by more than 5%."/>
  </r>
  <r>
    <x v="32"/>
    <s v="VNA"/>
    <s v="Infrastructure"/>
    <s v="SOW"/>
    <x v="1"/>
    <d v="2025-04-10T00:00:00"/>
    <x v="86"/>
    <s v="-"/>
    <s v="Yes"/>
    <s v="Yes"/>
    <x v="0"/>
    <m/>
    <m/>
    <m/>
    <m/>
    <m/>
    <m/>
    <m/>
    <d v="2025-04-01T00:00:00"/>
    <s v="TBD"/>
    <x v="0"/>
    <n v="-45912"/>
    <x v="0"/>
    <m/>
  </r>
  <r>
    <x v="32"/>
    <s v="VT"/>
    <s v="Infrastructure"/>
    <s v="SOW"/>
    <x v="2"/>
    <m/>
    <x v="87"/>
    <s v="David Walker"/>
    <s v="Yes"/>
    <s v="Yes"/>
    <x v="3"/>
    <m/>
    <m/>
    <m/>
    <m/>
    <m/>
    <m/>
    <m/>
    <d v="2022-07-06T00:00:00"/>
    <s v="TBD"/>
    <x v="1"/>
    <s v=""/>
    <x v="1"/>
    <m/>
  </r>
  <r>
    <x v="32"/>
    <s v="VT"/>
    <s v="Infrastructure"/>
    <s v="SOW"/>
    <x v="7"/>
    <m/>
    <x v="88"/>
    <s v="David Walker"/>
    <s v="Yes"/>
    <s v="Yes"/>
    <x v="3"/>
    <m/>
    <m/>
    <s v="Monthly"/>
    <m/>
    <m/>
    <m/>
    <s v="32 Hrs/Month"/>
    <d v="2024-02-02T00:00:00"/>
    <n v="12"/>
    <x v="41"/>
    <n v="-222"/>
    <x v="0"/>
    <s v="Thereafter, this SOW shall automatically renew for successive one (1) year terms (each a “Renewal Term”) upon Client’s written approval. Fees upon renewal shall not increase by more than 5%."/>
  </r>
  <r>
    <x v="33"/>
    <s v="VNA"/>
    <s v="Infrastructure"/>
    <s v="SOW"/>
    <x v="1"/>
    <d v="2023-03-31T00:00:00"/>
    <x v="89"/>
    <n v="0"/>
    <s v="Yes"/>
    <s v="Yes"/>
    <x v="3"/>
    <m/>
    <m/>
    <s v="Monthly"/>
    <s v="Net 30"/>
    <m/>
    <n v="94775"/>
    <n v="477"/>
    <d v="2023-04-15T00:00:00"/>
    <s v="Block of Hours"/>
    <x v="1"/>
    <s v=""/>
    <x v="1"/>
    <m/>
  </r>
  <r>
    <x v="34"/>
    <s v="VNA"/>
    <s v="Infrastructure"/>
    <s v="SOW"/>
    <x v="1"/>
    <m/>
    <x v="90"/>
    <n v="0"/>
    <s v="No"/>
    <m/>
    <x v="3"/>
    <s v="No"/>
    <s v="-"/>
    <s v="Biweekly"/>
    <m/>
    <s v="-"/>
    <s v="-"/>
    <s v="-"/>
    <d v="2022-04-11T00:00:00"/>
    <n v="6"/>
    <x v="42"/>
    <n v="-1067"/>
    <x v="0"/>
    <s v="Golden Gate"/>
  </r>
  <r>
    <x v="35"/>
    <s v="VNA"/>
    <s v="Infrastructure"/>
    <s v="SOW"/>
    <x v="1"/>
    <m/>
    <x v="91"/>
    <n v="0"/>
    <s v="No"/>
    <m/>
    <x v="1"/>
    <m/>
    <m/>
    <s v="Biweekly"/>
    <m/>
    <m/>
    <m/>
    <n v="500"/>
    <d v="2021-03-01T00:00:00"/>
    <s v="Block of Hours"/>
    <x v="1"/>
    <s v=""/>
    <x v="1"/>
    <m/>
  </r>
  <r>
    <x v="36"/>
    <s v="VT"/>
    <s v="Infrastructure"/>
    <s v="SOW"/>
    <x v="1"/>
    <m/>
    <x v="92"/>
    <s v="-"/>
    <s v="Yes"/>
    <s v="Yes"/>
    <x v="3"/>
    <m/>
    <m/>
    <m/>
    <m/>
    <m/>
    <m/>
    <n v="134"/>
    <d v="2025-02-06T00:00:00"/>
    <n v="12"/>
    <x v="43"/>
    <n v="147"/>
    <x v="2"/>
    <m/>
  </r>
  <r>
    <x v="36"/>
    <s v="VT"/>
    <s v="Infrastructure"/>
    <s v="SOW"/>
    <x v="4"/>
    <m/>
    <x v="93"/>
    <n v="0"/>
    <s v="Yes"/>
    <s v="Yes"/>
    <x v="3"/>
    <s v="Yes"/>
    <n v="81676"/>
    <s v="Biweekly"/>
    <s v="Net 30"/>
    <m/>
    <n v="21700"/>
    <n v="124"/>
    <d v="2024-08-27T00:00:00"/>
    <n v="12"/>
    <x v="44"/>
    <n v="-16"/>
    <x v="0"/>
    <m/>
  </r>
  <r>
    <x v="36"/>
    <s v="VT"/>
    <s v="Infrastructure"/>
    <s v="SOW"/>
    <x v="2"/>
    <m/>
    <x v="94"/>
    <n v="0"/>
    <s v="Yes"/>
    <s v="Yes"/>
    <x v="1"/>
    <s v="Yes"/>
    <n v="81151"/>
    <s v="Monthly"/>
    <m/>
    <m/>
    <m/>
    <n v="124"/>
    <d v="2023-08-02T00:00:00"/>
    <n v="12"/>
    <x v="45"/>
    <n v="-406"/>
    <x v="0"/>
    <s v="4 hours per month are dedicated to Retainer Services meant to review the database environment on a regular basis. Expected in the fall 2023 - revisit no later than May 15"/>
  </r>
  <r>
    <x v="36"/>
    <s v="VT"/>
    <s v="Infrastructure"/>
    <s v="SOW"/>
    <x v="2"/>
    <m/>
    <x v="95"/>
    <n v="0"/>
    <s v="Yes"/>
    <m/>
    <x v="2"/>
    <s v="Yes"/>
    <m/>
    <s v="Monthly"/>
    <s v="Net 30"/>
    <m/>
    <n v="21700"/>
    <n v="100"/>
    <d v="2022-09-06T00:00:00"/>
    <n v="12"/>
    <x v="46"/>
    <n v="-737"/>
    <x v="0"/>
    <m/>
  </r>
  <r>
    <x v="36"/>
    <s v="VT"/>
    <s v="Infrastructure"/>
    <s v="PO"/>
    <x v="8"/>
    <m/>
    <x v="96"/>
    <n v="0"/>
    <m/>
    <m/>
    <x v="1"/>
    <m/>
    <m/>
    <s v="Monthly"/>
    <s v="Net 30"/>
    <m/>
    <n v="19600"/>
    <m/>
    <d v="2023-05-16T00:00:00"/>
    <n v="12"/>
    <x v="47"/>
    <n v="-484"/>
    <x v="0"/>
    <m/>
  </r>
  <r>
    <x v="36"/>
    <s v="VT"/>
    <s v="Infrastructure"/>
    <s v="SOW"/>
    <x v="2"/>
    <m/>
    <x v="97"/>
    <n v="0"/>
    <s v="Yes"/>
    <m/>
    <x v="2"/>
    <m/>
    <m/>
    <m/>
    <m/>
    <m/>
    <m/>
    <m/>
    <d v="2020-08-10T00:00:00"/>
    <n v="12"/>
    <x v="48"/>
    <n v="-1494"/>
    <x v="0"/>
    <m/>
  </r>
  <r>
    <x v="36"/>
    <s v="VT"/>
    <s v="Infrastructure"/>
    <s v="SOW"/>
    <x v="1"/>
    <d v="2025-05-07T00:00:00"/>
    <x v="98"/>
    <s v="-"/>
    <s v="Yes"/>
    <s v="Yes"/>
    <x v="0"/>
    <m/>
    <m/>
    <m/>
    <m/>
    <m/>
    <m/>
    <m/>
    <d v="2025-05-07T00:00:00"/>
    <s v="ON-GOING"/>
    <x v="0"/>
    <n v="-45912"/>
    <x v="0"/>
    <m/>
  </r>
  <r>
    <x v="37"/>
    <s v="VNA"/>
    <s v="Infrastructure"/>
    <s v="SOW"/>
    <x v="1"/>
    <m/>
    <x v="99"/>
    <n v="0"/>
    <s v="Yes"/>
    <s v="Yes"/>
    <x v="1"/>
    <m/>
    <m/>
    <m/>
    <m/>
    <m/>
    <m/>
    <n v="356"/>
    <d v="2023-07-26T00:00:00"/>
    <s v="TBD"/>
    <x v="49"/>
    <s v=""/>
    <x v="1"/>
    <m/>
  </r>
  <r>
    <x v="38"/>
    <s v="VNA"/>
    <s v="Development"/>
    <s v="SOW"/>
    <x v="1"/>
    <m/>
    <x v="100"/>
    <n v="0"/>
    <s v="Yes"/>
    <s v="Yes"/>
    <x v="3"/>
    <m/>
    <m/>
    <m/>
    <m/>
    <m/>
    <m/>
    <m/>
    <m/>
    <m/>
    <x v="0"/>
    <n v="-45912"/>
    <x v="0"/>
    <m/>
  </r>
  <r>
    <x v="39"/>
    <s v="VT"/>
    <s v="Infrastructure"/>
    <s v="SOW"/>
    <x v="1"/>
    <m/>
    <x v="101"/>
    <n v="0"/>
    <s v="Yes"/>
    <m/>
    <x v="2"/>
    <m/>
    <m/>
    <m/>
    <m/>
    <m/>
    <m/>
    <n v="112"/>
    <d v="2022-07-21T00:00:00"/>
    <s v="ON-GOING"/>
    <x v="1"/>
    <s v=""/>
    <x v="1"/>
    <m/>
  </r>
  <r>
    <x v="40"/>
    <m/>
    <m/>
    <m/>
    <x v="5"/>
    <m/>
    <x v="102"/>
    <n v="0"/>
    <s v="No"/>
    <m/>
    <x v="1"/>
    <m/>
    <m/>
    <s v="Monthly"/>
    <m/>
    <m/>
    <m/>
    <n v="155"/>
    <m/>
    <m/>
    <x v="0"/>
    <n v="-45912"/>
    <x v="0"/>
    <m/>
  </r>
  <r>
    <x v="41"/>
    <s v="VNA"/>
    <s v="Infrastructure"/>
    <s v="SOW"/>
    <x v="2"/>
    <m/>
    <x v="103"/>
    <n v="0"/>
    <s v="Yes"/>
    <m/>
    <x v="2"/>
    <m/>
    <m/>
    <m/>
    <m/>
    <m/>
    <m/>
    <m/>
    <d v="2020-01-01T00:00:00"/>
    <s v="ON-GOING"/>
    <x v="1"/>
    <s v=""/>
    <x v="1"/>
    <m/>
  </r>
  <r>
    <x v="42"/>
    <s v="VNA"/>
    <m/>
    <s v="SOW"/>
    <x v="1"/>
    <m/>
    <x v="104"/>
    <n v="0"/>
    <s v="Yes"/>
    <m/>
    <x v="2"/>
    <m/>
    <m/>
    <s v="Monthly"/>
    <s v="Net 30"/>
    <m/>
    <n v="116200"/>
    <n v="664"/>
    <d v="2022-06-01T00:00:00"/>
    <s v="ON-GOING"/>
    <x v="1"/>
    <s v=""/>
    <x v="1"/>
    <s v="1. Viscosity will assess Jiffy Lube’s current environment and provide a proposal for a Data Warehouse (DW) solution._x000d__x000a_2. Analyze Jiffy Lube's application data feeds for data resiliency"/>
  </r>
  <r>
    <x v="43"/>
    <s v="VNA"/>
    <s v="Infrastructure"/>
    <s v="SOW"/>
    <x v="1"/>
    <m/>
    <x v="105"/>
    <n v="0"/>
    <s v="Yes"/>
    <s v="Yes"/>
    <x v="3"/>
    <m/>
    <n v="4500032976"/>
    <m/>
    <m/>
    <m/>
    <m/>
    <n v="740"/>
    <d v="2023-07-06T00:00:00"/>
    <n v="7"/>
    <x v="50"/>
    <n v="-584"/>
    <x v="0"/>
    <m/>
  </r>
  <r>
    <x v="44"/>
    <s v="VNA"/>
    <s v="Infrastructure"/>
    <s v="SOW"/>
    <x v="1"/>
    <m/>
    <x v="106"/>
    <s v="-"/>
    <s v="Yes"/>
    <s v="Yes"/>
    <x v="0"/>
    <m/>
    <m/>
    <m/>
    <m/>
    <m/>
    <m/>
    <m/>
    <s v="Issuance of PO"/>
    <m/>
    <x v="0"/>
    <n v="-45912"/>
    <x v="0"/>
    <m/>
  </r>
  <r>
    <x v="44"/>
    <s v="VNA"/>
    <s v="Infrastructure"/>
    <s v="SOW"/>
    <x v="1"/>
    <m/>
    <x v="107"/>
    <s v="kris.f@lamartrailers.com"/>
    <s v="Yes"/>
    <s v="Yes"/>
    <x v="2"/>
    <m/>
    <s v="n/a"/>
    <m/>
    <m/>
    <m/>
    <m/>
    <m/>
    <m/>
    <m/>
    <x v="0"/>
    <n v="-45912"/>
    <x v="0"/>
    <s v="provide professional services to assist Lamar Trailers (Client) to migrate the IQMS ERP dtaabase from the Windows toODAs and setup/confi ODA"/>
  </r>
  <r>
    <x v="44"/>
    <s v="VNA"/>
    <s v="Infrastructure"/>
    <s v="SOW"/>
    <x v="1"/>
    <d v="2025-04-29T00:00:00"/>
    <x v="106"/>
    <s v="-"/>
    <s v="Yes"/>
    <s v="Yes"/>
    <x v="0"/>
    <m/>
    <m/>
    <m/>
    <m/>
    <m/>
    <m/>
    <m/>
    <m/>
    <m/>
    <x v="0"/>
    <n v="-45912"/>
    <x v="0"/>
    <m/>
  </r>
  <r>
    <x v="45"/>
    <s v="VNA"/>
    <s v="Development"/>
    <s v="SOW"/>
    <x v="1"/>
    <m/>
    <x v="108"/>
    <n v="0"/>
    <s v="No"/>
    <s v="No"/>
    <x v="3"/>
    <m/>
    <m/>
    <m/>
    <m/>
    <m/>
    <m/>
    <m/>
    <m/>
    <m/>
    <x v="0"/>
    <n v="-45912"/>
    <x v="0"/>
    <m/>
  </r>
  <r>
    <x v="46"/>
    <m/>
    <m/>
    <m/>
    <x v="5"/>
    <m/>
    <x v="0"/>
    <n v="0"/>
    <s v="No"/>
    <m/>
    <x v="1"/>
    <m/>
    <m/>
    <m/>
    <m/>
    <m/>
    <m/>
    <m/>
    <m/>
    <m/>
    <x v="0"/>
    <n v="-45912"/>
    <x v="0"/>
    <m/>
  </r>
  <r>
    <x v="47"/>
    <s v="VNA"/>
    <s v="Infrastructure"/>
    <s v="SOW"/>
    <x v="1"/>
    <m/>
    <x v="109"/>
    <n v="0"/>
    <s v="Yes"/>
    <s v="Yes"/>
    <x v="3"/>
    <s v="Yes"/>
    <m/>
    <m/>
    <m/>
    <m/>
    <m/>
    <m/>
    <d v="2024-05-22T00:00:00"/>
    <n v="7"/>
    <x v="6"/>
    <n v="-255"/>
    <x v="0"/>
    <m/>
  </r>
  <r>
    <x v="48"/>
    <s v="VNA"/>
    <s v="Infrastructure"/>
    <s v="SOW"/>
    <x v="1"/>
    <m/>
    <x v="110"/>
    <n v="0"/>
    <s v="Yes"/>
    <m/>
    <x v="3"/>
    <m/>
    <m/>
    <s v="Monthly"/>
    <s v="Net 30"/>
    <m/>
    <n v="26400"/>
    <n v="176"/>
    <d v="2021-04-20T00:00:00"/>
    <s v="ON-GOING"/>
    <x v="1"/>
    <s v=""/>
    <x v="1"/>
    <s v="Viscosity will update the SUSE operating system for the SAP ECC environment."/>
  </r>
  <r>
    <x v="49"/>
    <s v="VNA"/>
    <s v="Infrastructure"/>
    <s v="SOW"/>
    <x v="3"/>
    <m/>
    <x v="111"/>
    <n v="0"/>
    <s v="Yes"/>
    <m/>
    <x v="2"/>
    <m/>
    <m/>
    <s v="-"/>
    <m/>
    <m/>
    <m/>
    <s v="-"/>
    <d v="2019-09-03T00:00:00"/>
    <s v="ON-GOING"/>
    <x v="1"/>
    <s v=""/>
    <x v="1"/>
    <m/>
  </r>
  <r>
    <x v="49"/>
    <s v="VT"/>
    <s v="Infrastructure"/>
    <s v="SOW"/>
    <x v="2"/>
    <m/>
    <x v="112"/>
    <n v="0"/>
    <s v="Yes"/>
    <m/>
    <x v="2"/>
    <m/>
    <m/>
    <s v="Monthly"/>
    <m/>
    <m/>
    <m/>
    <n v="8"/>
    <d v="2022-05-23T00:00:00"/>
    <s v="ON-GOING"/>
    <x v="1"/>
    <s v=""/>
    <x v="1"/>
    <s v="Viscosity will provide consulting services to review IO performance for Merit Medical Linux stack on VMware."/>
  </r>
  <r>
    <x v="49"/>
    <s v="VT"/>
    <s v="Infrastructure"/>
    <s v="SOW"/>
    <x v="9"/>
    <m/>
    <x v="113"/>
    <s v="-"/>
    <s v="Yes"/>
    <s v="Yes"/>
    <x v="0"/>
    <m/>
    <m/>
    <m/>
    <m/>
    <m/>
    <m/>
    <m/>
    <m/>
    <m/>
    <x v="0"/>
    <n v="-45912"/>
    <x v="0"/>
    <m/>
  </r>
  <r>
    <x v="49"/>
    <s v="VT"/>
    <s v="Infrastructure"/>
    <s v="SOW"/>
    <x v="9"/>
    <m/>
    <x v="114"/>
    <n v="0"/>
    <s v="Yes"/>
    <s v="Yes"/>
    <x v="2"/>
    <n v="1000033602"/>
    <m/>
    <m/>
    <m/>
    <m/>
    <m/>
    <n v="50"/>
    <d v="2023-07-17T00:00:00"/>
    <n v="12"/>
    <x v="51"/>
    <n v="-422"/>
    <x v="0"/>
    <m/>
  </r>
  <r>
    <x v="49"/>
    <s v="VT"/>
    <s v="Infrastructure"/>
    <s v="SOW"/>
    <x v="2"/>
    <m/>
    <x v="115"/>
    <n v="0"/>
    <s v="Yes"/>
    <m/>
    <x v="2"/>
    <s v="Yes"/>
    <n v="1000012449"/>
    <s v="Monthly"/>
    <m/>
    <s v="-"/>
    <n v="7000"/>
    <n v="40"/>
    <d v="2022-05-23T00:00:00"/>
    <s v="Block of Hours"/>
    <x v="1"/>
    <s v=""/>
    <x v="1"/>
    <m/>
  </r>
  <r>
    <x v="49"/>
    <s v="VT"/>
    <s v="Infrastructure"/>
    <s v="SOW"/>
    <x v="9"/>
    <m/>
    <x v="116"/>
    <n v="0"/>
    <s v="Yes"/>
    <s v="Yes"/>
    <x v="3"/>
    <s v="Need PO"/>
    <m/>
    <m/>
    <m/>
    <m/>
    <m/>
    <m/>
    <d v="2024-07-17T00:00:00"/>
    <n v="12"/>
    <x v="52"/>
    <n v="-57"/>
    <x v="0"/>
    <m/>
  </r>
  <r>
    <x v="50"/>
    <m/>
    <m/>
    <m/>
    <x v="5"/>
    <m/>
    <x v="117"/>
    <n v="0"/>
    <s v="No"/>
    <m/>
    <x v="1"/>
    <m/>
    <m/>
    <s v="Monthly"/>
    <m/>
    <m/>
    <m/>
    <n v="160"/>
    <m/>
    <m/>
    <x v="0"/>
    <n v="-45912"/>
    <x v="0"/>
    <s v="Restart of project/direction change"/>
  </r>
  <r>
    <x v="51"/>
    <s v="VNA"/>
    <m/>
    <s v="SOW"/>
    <x v="10"/>
    <m/>
    <x v="118"/>
    <n v="0"/>
    <s v="Yes"/>
    <s v="Yes"/>
    <x v="3"/>
    <m/>
    <m/>
    <m/>
    <m/>
    <m/>
    <m/>
    <m/>
    <d v="2023-08-03T00:00:00"/>
    <m/>
    <x v="53"/>
    <n v="-771"/>
    <x v="0"/>
    <m/>
  </r>
  <r>
    <x v="51"/>
    <s v="VNA"/>
    <s v="Development"/>
    <s v="SOW"/>
    <x v="1"/>
    <m/>
    <x v="119"/>
    <n v="0"/>
    <s v="Yes"/>
    <m/>
    <x v="3"/>
    <s v="Unknown"/>
    <s v="PO not issued"/>
    <s v="Monthly"/>
    <s v="Net 30"/>
    <n v="21625"/>
    <n v="129750"/>
    <s v="40 hrs/week"/>
    <d v="2023-01-03T00:00:00"/>
    <n v="6"/>
    <x v="54"/>
    <n v="-802"/>
    <x v="0"/>
    <m/>
  </r>
  <r>
    <x v="52"/>
    <s v="VNA"/>
    <s v="Development"/>
    <s v="SOW"/>
    <x v="1"/>
    <m/>
    <x v="120"/>
    <s v="Vlad (RMitton@mango.org)"/>
    <s v="No"/>
    <m/>
    <x v="2"/>
    <m/>
    <m/>
    <s v="Custom"/>
    <m/>
    <m/>
    <m/>
    <m/>
    <d v="2022-06-20T00:00:00"/>
    <s v="ON-GOING"/>
    <x v="1"/>
    <s v=""/>
    <x v="1"/>
    <s v="Custom Oracle APEX training for NMB"/>
  </r>
  <r>
    <x v="52"/>
    <s v="VNA"/>
    <s v="Development"/>
    <s v="SOW"/>
    <x v="1"/>
    <m/>
    <x v="121"/>
    <s v="Vlad (RMitton@mango.org)"/>
    <s v="Yes"/>
    <m/>
    <x v="2"/>
    <m/>
    <m/>
    <m/>
    <m/>
    <m/>
    <m/>
    <m/>
    <d v="2021-02-08T00:00:00"/>
    <n v="25"/>
    <x v="55"/>
    <n v="-919"/>
    <x v="0"/>
    <m/>
  </r>
  <r>
    <x v="52"/>
    <s v="VNA"/>
    <s v="Development"/>
    <s v="SOW"/>
    <x v="1"/>
    <d v="2025-05-14T00:00:00"/>
    <x v="122"/>
    <s v="-"/>
    <s v="Yes"/>
    <s v="Yes"/>
    <x v="0"/>
    <m/>
    <m/>
    <m/>
    <m/>
    <m/>
    <m/>
    <m/>
    <m/>
    <m/>
    <x v="0"/>
    <n v="-45912"/>
    <x v="0"/>
    <m/>
  </r>
  <r>
    <x v="53"/>
    <s v="VNA"/>
    <s v="Development"/>
    <s v="SOW"/>
    <x v="1"/>
    <m/>
    <x v="123"/>
    <n v="0"/>
    <s v="Yes"/>
    <s v="Yes"/>
    <x v="3"/>
    <m/>
    <m/>
    <m/>
    <m/>
    <m/>
    <m/>
    <s v="NA"/>
    <d v="2023-08-01T00:00:00"/>
    <s v="TBD"/>
    <x v="6"/>
    <n v="-255"/>
    <x v="0"/>
    <m/>
  </r>
  <r>
    <x v="54"/>
    <s v="VT"/>
    <s v="Infrastructure"/>
    <s v="SOW"/>
    <x v="1"/>
    <m/>
    <x v="63"/>
    <n v="0"/>
    <s v="Yes"/>
    <m/>
    <x v="2"/>
    <s v="Yes"/>
    <m/>
    <s v="Custom"/>
    <m/>
    <m/>
    <n v="75000"/>
    <n v="424"/>
    <d v="2022-07-25T00:00:00"/>
    <s v="Block of Hours"/>
    <x v="1"/>
    <s v=""/>
    <x v="1"/>
    <s v="Viscosity Technology, Inc. will provide consulting services to NMG to_x000d__x000a_migrate 4 databases listed below from the Exadata X5-2 to new ODAs in the Plano data center_x000d__x000a_leveraging Data Guard."/>
  </r>
  <r>
    <x v="55"/>
    <s v="VNA"/>
    <s v="Development"/>
    <s v="SOW"/>
    <x v="1"/>
    <m/>
    <x v="124"/>
    <n v="0"/>
    <s v="No"/>
    <m/>
    <x v="2"/>
    <m/>
    <m/>
    <s v="Custom"/>
    <m/>
    <m/>
    <m/>
    <m/>
    <d v="2019-04-10T00:00:00"/>
    <s v="ON-GOING"/>
    <x v="1"/>
    <s v=""/>
    <x v="1"/>
    <s v="Setup ZFS for ODA and Oracle Backup"/>
  </r>
  <r>
    <x v="55"/>
    <s v="VNA"/>
    <s v="Infrastructure"/>
    <s v="SOW"/>
    <x v="1"/>
    <m/>
    <x v="125"/>
    <n v="0"/>
    <s v="Yes"/>
    <m/>
    <x v="2"/>
    <m/>
    <m/>
    <s v="Biweekly"/>
    <m/>
    <m/>
    <m/>
    <m/>
    <d v="2018-05-20T00:00:00"/>
    <s v="ON-GOING"/>
    <x v="1"/>
    <s v=""/>
    <x v="1"/>
    <s v="Viscosity will perform consulting services to configure and build the Oracle Database on the_x000d__x000a_existing Oracle Database Appliance(s) and collaborate with the NeoSystems Database_x000d__x000a_Administration team"/>
  </r>
  <r>
    <x v="56"/>
    <s v="VNA"/>
    <s v="Infrastructure"/>
    <s v="SOW"/>
    <x v="1"/>
    <m/>
    <x v="126"/>
    <n v="0"/>
    <s v="Yes"/>
    <m/>
    <x v="3"/>
    <s v="Yes"/>
    <n v="4000207399"/>
    <s v="Quarerly"/>
    <m/>
    <m/>
    <n v="10500"/>
    <m/>
    <d v="2022-09-01T00:00:00"/>
    <s v="ON-GOING"/>
    <x v="1"/>
    <s v=""/>
    <x v="1"/>
    <m/>
  </r>
  <r>
    <x v="57"/>
    <s v="VNA"/>
    <s v="Infrastructure"/>
    <s v="Change Order"/>
    <x v="2"/>
    <d v="2023-06-14T00:00:00"/>
    <x v="127"/>
    <n v="0"/>
    <s v="Yes"/>
    <s v="Yes"/>
    <x v="3"/>
    <m/>
    <m/>
    <m/>
    <m/>
    <m/>
    <m/>
    <s v="?"/>
    <d v="2023-05-22T00:00:00"/>
    <m/>
    <x v="56"/>
    <n v="-844"/>
    <x v="0"/>
    <m/>
  </r>
  <r>
    <x v="57"/>
    <s v="VT"/>
    <s v="Infrastructure"/>
    <s v="Change Order"/>
    <x v="2"/>
    <m/>
    <x v="128"/>
    <n v="0"/>
    <s v="Yes"/>
    <s v="Yes"/>
    <x v="3"/>
    <m/>
    <m/>
    <m/>
    <m/>
    <m/>
    <m/>
    <m/>
    <d v="2023-06-14T00:00:00"/>
    <m/>
    <x v="57"/>
    <n v="-821"/>
    <x v="0"/>
    <s v="Outlines the revision in scope for the Poplar Managed Services agreement specific to monitored _x000a_components:"/>
  </r>
  <r>
    <x v="57"/>
    <s v="VT"/>
    <s v="Infrastructure"/>
    <s v="SOW"/>
    <x v="2"/>
    <m/>
    <x v="129"/>
    <n v="0"/>
    <s v="Yes"/>
    <m/>
    <x v="3"/>
    <s v="No"/>
    <s v="Invoice"/>
    <s v="Monthly"/>
    <m/>
    <n v="4210"/>
    <n v="50520"/>
    <s v="20 Hrs/Month"/>
    <d v="2023-03-01T00:00:00"/>
    <n v="12"/>
    <x v="58"/>
    <n v="-560"/>
    <x v="0"/>
    <m/>
  </r>
  <r>
    <x v="57"/>
    <s v="VNA"/>
    <s v="Development"/>
    <s v="SOW"/>
    <x v="1"/>
    <m/>
    <x v="130"/>
    <n v="0"/>
    <s v="Yes"/>
    <m/>
    <x v="2"/>
    <m/>
    <m/>
    <m/>
    <m/>
    <m/>
    <m/>
    <n v="440"/>
    <d v="2022-05-20T00:00:00"/>
    <s v="Block of Hours"/>
    <x v="1"/>
    <s v=""/>
    <x v="1"/>
    <m/>
  </r>
  <r>
    <x v="58"/>
    <s v="VT"/>
    <s v="Infrastructure"/>
    <s v="SOW"/>
    <x v="1"/>
    <m/>
    <x v="131"/>
    <s v="n/a"/>
    <s v="Yes"/>
    <s v="Yes"/>
    <x v="3"/>
    <m/>
    <m/>
    <m/>
    <m/>
    <m/>
    <m/>
    <m/>
    <d v="2024-01-15T00:00:00"/>
    <s v="TBD"/>
    <x v="1"/>
    <s v=""/>
    <x v="1"/>
    <m/>
  </r>
  <r>
    <x v="59"/>
    <s v="VNA"/>
    <s v="Infrastructure"/>
    <s v="SOW"/>
    <x v="3"/>
    <m/>
    <x v="132"/>
    <n v="0"/>
    <s v="Yes"/>
    <m/>
    <x v="2"/>
    <m/>
    <m/>
    <s v="Monthly"/>
    <m/>
    <m/>
    <m/>
    <n v="58"/>
    <d v="2022-09-30T00:00:00"/>
    <s v="ON-GOING"/>
    <x v="1"/>
    <s v=""/>
    <x v="1"/>
    <m/>
  </r>
  <r>
    <x v="60"/>
    <s v="VT"/>
    <m/>
    <m/>
    <x v="5"/>
    <m/>
    <x v="0"/>
    <n v="0"/>
    <s v="No"/>
    <m/>
    <x v="2"/>
    <m/>
    <m/>
    <m/>
    <m/>
    <m/>
    <m/>
    <m/>
    <m/>
    <m/>
    <x v="0"/>
    <n v="-45912"/>
    <x v="0"/>
    <m/>
  </r>
  <r>
    <x v="61"/>
    <m/>
    <m/>
    <m/>
    <x v="5"/>
    <m/>
    <x v="133"/>
    <n v="0"/>
    <s v="No"/>
    <m/>
    <x v="3"/>
    <m/>
    <m/>
    <s v="Monthly"/>
    <m/>
    <m/>
    <m/>
    <m/>
    <m/>
    <m/>
    <x v="0"/>
    <n v="-45912"/>
    <x v="0"/>
    <s v="Viscosity will provide technical direction, roadmap and implementation expertise for Inovio/Nab SharePlex implementation to set up replication between the data centers in an active/activeconfiguration"/>
  </r>
  <r>
    <x v="62"/>
    <s v="VNA"/>
    <s v="Infrastructure"/>
    <s v="SOW"/>
    <x v="3"/>
    <d v="2024-10-18T00:00:00"/>
    <x v="134"/>
    <s v="-"/>
    <s v="Yes"/>
    <s v="Yes"/>
    <x v="0"/>
    <m/>
    <m/>
    <m/>
    <m/>
    <m/>
    <m/>
    <m/>
    <d v="2024-10-21T00:00:00"/>
    <m/>
    <x v="59"/>
    <n v="-45912"/>
    <x v="0"/>
    <m/>
  </r>
  <r>
    <x v="62"/>
    <s v="VNA"/>
    <s v="Infrastructure"/>
    <s v="SOW"/>
    <x v="3"/>
    <d v="2023-03-08T00:00:00"/>
    <x v="135"/>
    <n v="0"/>
    <s v="Yes"/>
    <s v="Yes"/>
    <x v="3"/>
    <m/>
    <m/>
    <m/>
    <m/>
    <m/>
    <m/>
    <n v="404"/>
    <d v="2023-03-03T00:00:00"/>
    <s v="Block of Hours"/>
    <x v="1"/>
    <s v=""/>
    <x v="1"/>
    <m/>
  </r>
  <r>
    <x v="62"/>
    <s v="VNA"/>
    <s v="Infrastructure"/>
    <s v="Change Order"/>
    <x v="3"/>
    <d v="2025-04-23T00:00:00"/>
    <x v="136"/>
    <s v="-"/>
    <s v="Yes"/>
    <s v="Yes"/>
    <x v="0"/>
    <m/>
    <m/>
    <m/>
    <m/>
    <m/>
    <m/>
    <m/>
    <m/>
    <m/>
    <x v="0"/>
    <n v="-45912"/>
    <x v="0"/>
    <m/>
  </r>
  <r>
    <x v="63"/>
    <s v="VNA"/>
    <s v="Development"/>
    <s v="SOW"/>
    <x v="1"/>
    <m/>
    <x v="137"/>
    <s v="-"/>
    <s v="Yes"/>
    <s v="Yes"/>
    <x v="0"/>
    <m/>
    <m/>
    <m/>
    <m/>
    <m/>
    <m/>
    <m/>
    <d v="2024-11-30T00:00:00"/>
    <m/>
    <x v="60"/>
    <n v="-45912"/>
    <x v="0"/>
    <m/>
  </r>
  <r>
    <x v="63"/>
    <s v="VNA"/>
    <s v="Development"/>
    <s v="SOW"/>
    <x v="1"/>
    <m/>
    <x v="138"/>
    <n v="0"/>
    <s v="Yes"/>
    <m/>
    <x v="4"/>
    <m/>
    <m/>
    <s v="Monthly"/>
    <m/>
    <m/>
    <m/>
    <n v="20"/>
    <d v="2021-01-10T00:00:00"/>
    <n v="1"/>
    <x v="61"/>
    <n v="-1665"/>
    <x v="0"/>
    <m/>
  </r>
  <r>
    <x v="64"/>
    <s v="VNA"/>
    <s v="Development"/>
    <s v="SOW"/>
    <x v="1"/>
    <d v="2023-12-04T00:00:00"/>
    <x v="139"/>
    <s v="roger.hayes@region10.org"/>
    <s v="Yes"/>
    <s v="No"/>
    <x v="0"/>
    <m/>
    <m/>
    <m/>
    <m/>
    <m/>
    <m/>
    <m/>
    <d v="2023-11-16T00:00:00"/>
    <n v="1"/>
    <x v="62"/>
    <n v="-636"/>
    <x v="0"/>
    <m/>
  </r>
  <r>
    <x v="64"/>
    <s v="VNA"/>
    <s v="Development"/>
    <s v="SOW"/>
    <x v="1"/>
    <d v="2024-11-06T00:00:00"/>
    <x v="140"/>
    <s v="-"/>
    <s v="Yes"/>
    <s v="Yes"/>
    <x v="0"/>
    <m/>
    <m/>
    <m/>
    <m/>
    <m/>
    <m/>
    <m/>
    <s v="Upon Issued PO"/>
    <m/>
    <x v="0"/>
    <n v="-45912"/>
    <x v="0"/>
    <m/>
  </r>
  <r>
    <x v="64"/>
    <s v="VNA"/>
    <s v="Infrastructure"/>
    <s v="SOW"/>
    <x v="1"/>
    <d v="2023-08-25T00:00:00"/>
    <x v="141"/>
    <s v="roger.hayes@region10.org"/>
    <s v="Yes"/>
    <s v="Yes"/>
    <x v="0"/>
    <m/>
    <n v="400593"/>
    <m/>
    <m/>
    <m/>
    <m/>
    <m/>
    <d v="2023-10-15T00:00:00"/>
    <s v="TBD"/>
    <x v="1"/>
    <s v=""/>
    <x v="1"/>
    <m/>
  </r>
  <r>
    <x v="65"/>
    <s v="VNA"/>
    <s v="Infrastructure"/>
    <s v="PO"/>
    <x v="1"/>
    <m/>
    <x v="142"/>
    <n v="0"/>
    <s v="No"/>
    <s v="No"/>
    <x v="4"/>
    <m/>
    <m/>
    <m/>
    <m/>
    <m/>
    <m/>
    <m/>
    <d v="2023-08-17T00:00:00"/>
    <n v="2"/>
    <x v="63"/>
    <n v="-696"/>
    <x v="0"/>
    <s v="Is this still active?"/>
  </r>
  <r>
    <x v="66"/>
    <s v="VNA"/>
    <s v="Infrastructure"/>
    <s v="SOW"/>
    <x v="2"/>
    <m/>
    <x v="143"/>
    <n v="0"/>
    <s v="Yes"/>
    <s v="Yes"/>
    <x v="3"/>
    <s v="Yes"/>
    <m/>
    <s v="Monthly"/>
    <m/>
    <n v="5000"/>
    <n v="45000"/>
    <n v="360"/>
    <d v="2023-03-01T00:00:00"/>
    <n v="9"/>
    <x v="64"/>
    <n v="-621"/>
    <x v="0"/>
    <m/>
  </r>
  <r>
    <x v="66"/>
    <s v="VNA"/>
    <s v="Development"/>
    <s v="SOW"/>
    <x v="1"/>
    <m/>
    <x v="144"/>
    <n v="0"/>
    <s v="Yes"/>
    <m/>
    <x v="2"/>
    <m/>
    <m/>
    <s v="Monthly"/>
    <m/>
    <m/>
    <m/>
    <n v="448"/>
    <d v="2020-03-30T00:00:00"/>
    <s v="ON-GOING"/>
    <x v="1"/>
    <s v=""/>
    <x v="1"/>
    <s v="Payment terms are Net 45 days."/>
  </r>
  <r>
    <x v="66"/>
    <s v="VNA"/>
    <s v="Infrastructure"/>
    <s v="SOW"/>
    <x v="2"/>
    <m/>
    <x v="23"/>
    <n v="0"/>
    <s v="Yes"/>
    <m/>
    <x v="3"/>
    <s v="Yes"/>
    <m/>
    <s v="Monthly"/>
    <m/>
    <m/>
    <m/>
    <n v="30"/>
    <d v="2015-12-10T00:00:00"/>
    <n v="24"/>
    <x v="65"/>
    <n v="-2833"/>
    <x v="0"/>
    <m/>
  </r>
  <r>
    <x v="67"/>
    <s v="VNA"/>
    <m/>
    <s v="SOW"/>
    <x v="0"/>
    <m/>
    <x v="145"/>
    <n v="0"/>
    <s v="Yes"/>
    <s v="Yes"/>
    <x v="3"/>
    <m/>
    <m/>
    <m/>
    <m/>
    <m/>
    <m/>
    <n v="1538"/>
    <d v="2023-08-08T00:00:00"/>
    <s v="TBD"/>
    <x v="1"/>
    <s v=""/>
    <x v="1"/>
    <m/>
  </r>
  <r>
    <x v="67"/>
    <s v="VNA"/>
    <s v="Infrastructure"/>
    <s v="SOW"/>
    <x v="3"/>
    <m/>
    <x v="134"/>
    <s v="Tim Reagan "/>
    <s v="Yes"/>
    <s v="Yes"/>
    <x v="3"/>
    <m/>
    <m/>
    <m/>
    <m/>
    <m/>
    <m/>
    <m/>
    <m/>
    <m/>
    <x v="0"/>
    <n v="-45912"/>
    <x v="0"/>
    <m/>
  </r>
  <r>
    <x v="68"/>
    <s v="VNA"/>
    <s v="Infrastructure"/>
    <s v="SOW"/>
    <x v="1"/>
    <m/>
    <x v="146"/>
    <s v="Mark.Benson@sanofi.com "/>
    <s v="Yes"/>
    <s v="Yes"/>
    <x v="2"/>
    <m/>
    <s v="E004775599"/>
    <s v="Custom"/>
    <s v="Net 90"/>
    <m/>
    <n v="79000"/>
    <n v="600"/>
    <d v="2023-10-15T00:00:00"/>
    <s v="TBD"/>
    <x v="1"/>
    <s v=""/>
    <x v="1"/>
    <s v="Design and build a Data Guard system for Sanofi PoC site"/>
  </r>
  <r>
    <x v="68"/>
    <s v="VNA"/>
    <s v="Infrastructure"/>
    <s v="SOW"/>
    <x v="1"/>
    <d v="2023-06-01T00:00:00"/>
    <x v="147"/>
    <s v="Mark.Benson@sanofi.com"/>
    <s v="Yes"/>
    <s v="Yes"/>
    <x v="2"/>
    <m/>
    <m/>
    <s v="Custom"/>
    <s v="Net 90"/>
    <m/>
    <n v="85800"/>
    <n v="440"/>
    <d v="2023-06-01T00:00:00"/>
    <s v="ON-GOING"/>
    <x v="1"/>
    <s v=""/>
    <x v="1"/>
    <m/>
  </r>
  <r>
    <x v="69"/>
    <s v="VT"/>
    <s v="Infrastructure"/>
    <s v="SOW"/>
    <x v="2"/>
    <m/>
    <x v="82"/>
    <n v="0"/>
    <s v="Yes"/>
    <m/>
    <x v="3"/>
    <m/>
    <m/>
    <s v="Monthly"/>
    <m/>
    <m/>
    <m/>
    <s v="20 Hrs/Month"/>
    <d v="2022-11-01T00:00:00"/>
    <s v="ON-GOING"/>
    <x v="1"/>
    <s v=""/>
    <x v="1"/>
    <m/>
  </r>
  <r>
    <x v="70"/>
    <s v="VNA"/>
    <s v="Development"/>
    <s v="SOW"/>
    <x v="1"/>
    <d v="2025-04-01T00:00:00"/>
    <x v="148"/>
    <n v="0"/>
    <s v="Yes"/>
    <s v="Yes"/>
    <x v="0"/>
    <m/>
    <m/>
    <m/>
    <m/>
    <m/>
    <m/>
    <m/>
    <d v="2025-04-04T00:00:00"/>
    <m/>
    <x v="66"/>
    <n v="-45912"/>
    <x v="0"/>
    <m/>
  </r>
  <r>
    <x v="71"/>
    <m/>
    <m/>
    <m/>
    <x v="5"/>
    <m/>
    <x v="149"/>
    <n v="0"/>
    <m/>
    <m/>
    <x v="3"/>
    <m/>
    <m/>
    <m/>
    <m/>
    <m/>
    <m/>
    <m/>
    <m/>
    <m/>
    <x v="0"/>
    <n v="-45912"/>
    <x v="0"/>
    <m/>
  </r>
  <r>
    <x v="72"/>
    <s v="VNA"/>
    <s v="Infrastructure"/>
    <s v="SOW"/>
    <x v="2"/>
    <m/>
    <x v="23"/>
    <n v="0"/>
    <s v="No"/>
    <m/>
    <x v="1"/>
    <m/>
    <m/>
    <s v="Monthly"/>
    <m/>
    <m/>
    <m/>
    <m/>
    <d v="2017-04-25T00:00:00"/>
    <s v="ON-GOING"/>
    <x v="1"/>
    <s v=""/>
    <x v="1"/>
    <m/>
  </r>
  <r>
    <x v="73"/>
    <s v="VNA"/>
    <s v="Infrastructure"/>
    <s v="SOW"/>
    <x v="2"/>
    <m/>
    <x v="150"/>
    <n v="0"/>
    <s v="Yes"/>
    <m/>
    <x v="3"/>
    <s v="Yes"/>
    <s v="USP00405042"/>
    <s v="Monthly"/>
    <m/>
    <n v="1300"/>
    <m/>
    <n v="10"/>
    <d v="2022-06-01T00:00:00"/>
    <s v="ON-GOING"/>
    <x v="1"/>
    <s v=""/>
    <x v="1"/>
    <s v="To Start June 1- Waiting to Confirm PO-remote managed support services to Sherwin Williams specific to all work products implemented during Horizon and Barcode Shipping engagements"/>
  </r>
  <r>
    <x v="73"/>
    <m/>
    <m/>
    <s v="PO"/>
    <x v="8"/>
    <m/>
    <x v="151"/>
    <n v="0"/>
    <m/>
    <m/>
    <x v="0"/>
    <m/>
    <m/>
    <m/>
    <m/>
    <m/>
    <m/>
    <m/>
    <m/>
    <m/>
    <x v="0"/>
    <n v="-45912"/>
    <x v="0"/>
    <m/>
  </r>
  <r>
    <x v="74"/>
    <s v="VNA"/>
    <m/>
    <s v="SOW"/>
    <x v="1"/>
    <m/>
    <x v="152"/>
    <n v="0"/>
    <s v="Yes"/>
    <s v="Yes"/>
    <x v="0"/>
    <m/>
    <m/>
    <m/>
    <m/>
    <m/>
    <m/>
    <m/>
    <m/>
    <m/>
    <x v="0"/>
    <n v="-45912"/>
    <x v="0"/>
    <m/>
  </r>
  <r>
    <x v="74"/>
    <s v="VNA"/>
    <s v="Development"/>
    <s v="Change Order"/>
    <x v="1"/>
    <m/>
    <x v="153"/>
    <s v="-"/>
    <m/>
    <m/>
    <x v="0"/>
    <m/>
    <m/>
    <m/>
    <m/>
    <m/>
    <m/>
    <m/>
    <m/>
    <m/>
    <x v="0"/>
    <n v="-45912"/>
    <x v="0"/>
    <m/>
  </r>
  <r>
    <x v="74"/>
    <s v="VNA"/>
    <s v="Development"/>
    <s v="Change Order"/>
    <x v="1"/>
    <m/>
    <x v="154"/>
    <s v="-"/>
    <m/>
    <m/>
    <x v="0"/>
    <m/>
    <m/>
    <m/>
    <m/>
    <m/>
    <m/>
    <m/>
    <m/>
    <m/>
    <x v="0"/>
    <n v="-45912"/>
    <x v="0"/>
    <m/>
  </r>
  <r>
    <x v="74"/>
    <s v="VNA"/>
    <m/>
    <s v="SOW"/>
    <x v="1"/>
    <m/>
    <x v="155"/>
    <n v="0"/>
    <s v="Yes"/>
    <s v="Yes"/>
    <x v="3"/>
    <m/>
    <m/>
    <m/>
    <m/>
    <m/>
    <m/>
    <m/>
    <d v="2024-01-17T00:00:00"/>
    <n v="11"/>
    <x v="67"/>
    <n v="-269"/>
    <x v="0"/>
    <m/>
  </r>
  <r>
    <x v="75"/>
    <s v="VNA"/>
    <s v="Development"/>
    <s v="SOW"/>
    <x v="2"/>
    <m/>
    <x v="156"/>
    <n v="0"/>
    <s v="No"/>
    <m/>
    <x v="1"/>
    <m/>
    <m/>
    <s v="Monthly"/>
    <m/>
    <m/>
    <m/>
    <m/>
    <m/>
    <m/>
    <x v="0"/>
    <n v="-45912"/>
    <x v="0"/>
    <s v="Perform data integration, data loading, design and build custom user interfaces.  Integrate Client’s CMS and LMS solutions across business units including Canada, Australia, and New Zealand"/>
  </r>
  <r>
    <x v="75"/>
    <s v="VNA"/>
    <m/>
    <s v="SOW"/>
    <x v="2"/>
    <m/>
    <x v="157"/>
    <n v="0"/>
    <s v="No"/>
    <m/>
    <x v="1"/>
    <m/>
    <m/>
    <s v="Monthly"/>
    <m/>
    <m/>
    <m/>
    <m/>
    <m/>
    <m/>
    <x v="0"/>
    <n v="-45912"/>
    <x v="0"/>
    <s v="Supporting the production environment during and after the rollout."/>
  </r>
  <r>
    <x v="75"/>
    <s v="VNA"/>
    <m/>
    <s v="SOW"/>
    <x v="2"/>
    <m/>
    <x v="158"/>
    <n v="0"/>
    <s v="No"/>
    <m/>
    <x v="1"/>
    <m/>
    <m/>
    <s v="Monthly"/>
    <m/>
    <m/>
    <m/>
    <m/>
    <m/>
    <m/>
    <x v="0"/>
    <n v="-45912"/>
    <x v="0"/>
    <s v="Two project managers to support the rollout of  software and sites"/>
  </r>
  <r>
    <x v="75"/>
    <s v="VNA"/>
    <m/>
    <s v="SOW"/>
    <x v="2"/>
    <m/>
    <x v="159"/>
    <n v="0"/>
    <s v="No"/>
    <m/>
    <x v="1"/>
    <m/>
    <m/>
    <s v="Monthly"/>
    <m/>
    <m/>
    <m/>
    <m/>
    <m/>
    <m/>
    <x v="0"/>
    <n v="-45912"/>
    <x v="0"/>
    <s v="Implement financials, GL, AR, AP, Assets across Canada, Australia, and New Zealand."/>
  </r>
  <r>
    <x v="75"/>
    <s v="VNA"/>
    <m/>
    <s v="SOW"/>
    <x v="2"/>
    <m/>
    <x v="160"/>
    <n v="0"/>
    <s v="No"/>
    <m/>
    <x v="1"/>
    <m/>
    <m/>
    <s v="Monthly"/>
    <m/>
    <m/>
    <m/>
    <m/>
    <m/>
    <m/>
    <x v="0"/>
    <n v="-45912"/>
    <x v="0"/>
    <s v="Implement Consolidation and Close, Planning and Budgeting, and Enterprise Performance Reporting solution for STgenetics"/>
  </r>
  <r>
    <x v="76"/>
    <s v="VNA"/>
    <s v="Development"/>
    <s v="SOW"/>
    <x v="1"/>
    <m/>
    <x v="161"/>
    <n v="0"/>
    <s v="No"/>
    <m/>
    <x v="0"/>
    <m/>
    <m/>
    <m/>
    <m/>
    <m/>
    <m/>
    <m/>
    <m/>
    <m/>
    <x v="0"/>
    <n v="-45912"/>
    <x v="0"/>
    <m/>
  </r>
  <r>
    <x v="76"/>
    <s v="VNA"/>
    <s v="Development"/>
    <s v="SOW"/>
    <x v="11"/>
    <d v="2025-01-24T00:00:00"/>
    <x v="162"/>
    <s v="-"/>
    <s v="Yes"/>
    <s v="Yes"/>
    <x v="0"/>
    <m/>
    <m/>
    <m/>
    <m/>
    <m/>
    <m/>
    <m/>
    <d v="2025-01-21T00:00:00"/>
    <s v="TBD"/>
    <x v="1"/>
    <s v=""/>
    <x v="1"/>
    <m/>
  </r>
  <r>
    <x v="76"/>
    <s v="VNA"/>
    <s v="Development"/>
    <s v="SOW"/>
    <x v="1"/>
    <m/>
    <x v="163"/>
    <n v="0"/>
    <s v="No"/>
    <m/>
    <x v="3"/>
    <m/>
    <m/>
    <s v="Monthly"/>
    <m/>
    <m/>
    <m/>
    <n v="405"/>
    <m/>
    <m/>
    <x v="0"/>
    <n v="-45912"/>
    <x v="0"/>
    <s v="This SOW will support the enhancement of the Transform Application, supporting Tip Management and Payroll."/>
  </r>
  <r>
    <x v="77"/>
    <s v="VT"/>
    <s v="Infrastructure"/>
    <s v="Change Order"/>
    <x v="2"/>
    <m/>
    <x v="164"/>
    <s v="Antonio Taylor"/>
    <s v="Yes"/>
    <s v="Yes"/>
    <x v="3"/>
    <m/>
    <m/>
    <m/>
    <m/>
    <m/>
    <m/>
    <m/>
    <d v="2024-02-23T00:00:00"/>
    <s v="TBD"/>
    <x v="1"/>
    <s v=""/>
    <x v="1"/>
    <m/>
  </r>
  <r>
    <x v="77"/>
    <s v="VT"/>
    <s v="Infrastructure"/>
    <s v="SOW"/>
    <x v="2"/>
    <m/>
    <x v="165"/>
    <s v="Antonio Taylor"/>
    <s v="Yes"/>
    <s v="Yes"/>
    <x v="3"/>
    <m/>
    <m/>
    <m/>
    <m/>
    <m/>
    <m/>
    <m/>
    <d v="2024-01-09T00:00:00"/>
    <s v="ON-GOING"/>
    <x v="1"/>
    <s v=""/>
    <x v="1"/>
    <m/>
  </r>
  <r>
    <x v="77"/>
    <s v="VT"/>
    <s v="Infrastructure"/>
    <s v="SOW"/>
    <x v="2"/>
    <m/>
    <x v="166"/>
    <s v="Antonio Taylor"/>
    <s v="Yes"/>
    <m/>
    <x v="3"/>
    <m/>
    <m/>
    <m/>
    <m/>
    <m/>
    <m/>
    <m/>
    <d v="2021-04-16T00:00:00"/>
    <s v="ON-GOING"/>
    <x v="1"/>
    <s v=""/>
    <x v="1"/>
    <s v="The term of this SOW will commence on April 19, 2021 and continue until terminated by Client.  The term of this Agreement is twelve (12) months."/>
  </r>
  <r>
    <x v="77"/>
    <s v="VT"/>
    <s v="Infrastructure"/>
    <s v="SOW"/>
    <x v="1"/>
    <m/>
    <x v="167"/>
    <s v="Antonio Taylor"/>
    <s v="Yes"/>
    <s v="Yes"/>
    <x v="3"/>
    <s v="Yes"/>
    <m/>
    <m/>
    <m/>
    <m/>
    <m/>
    <m/>
    <d v="2024-08-12T00:00:00"/>
    <s v="ON-GOING"/>
    <x v="1"/>
    <s v=""/>
    <x v="1"/>
    <m/>
  </r>
  <r>
    <x v="78"/>
    <s v="VNA"/>
    <s v="Infrastructure"/>
    <s v="SOW"/>
    <x v="2"/>
    <m/>
    <x v="168"/>
    <n v="0"/>
    <s v="Yes"/>
    <s v="No"/>
    <x v="3"/>
    <m/>
    <m/>
    <s v="Monthly"/>
    <m/>
    <n v="4000"/>
    <m/>
    <m/>
    <d v="2020-10-01T00:00:00"/>
    <n v="12"/>
    <x v="68"/>
    <n v="-1412"/>
    <x v="0"/>
    <s v="Optional 36 month commitment @ 10% discount"/>
  </r>
  <r>
    <x v="79"/>
    <s v="VNA"/>
    <s v="Infrastructure"/>
    <s v="SOW"/>
    <x v="2"/>
    <m/>
    <x v="169"/>
    <n v="0"/>
    <s v="Yes"/>
    <m/>
    <x v="3"/>
    <s v="No"/>
    <m/>
    <s v="Monthly"/>
    <m/>
    <m/>
    <m/>
    <m/>
    <d v="2020-10-01T00:00:00"/>
    <s v="ON-GOING"/>
    <x v="1"/>
    <s v=""/>
    <x v="1"/>
    <s v="US renal pre-paid for 100 hrs of work, when they purchased the ODA."/>
  </r>
  <r>
    <x v="79"/>
    <s v="VT"/>
    <s v="Infrastructure"/>
    <s v="SOW"/>
    <x v="1"/>
    <d v="2025-02-28T00:00:00"/>
    <x v="170"/>
    <s v="-"/>
    <s v="Yes"/>
    <s v="Yes"/>
    <x v="0"/>
    <m/>
    <m/>
    <m/>
    <m/>
    <m/>
    <m/>
    <m/>
    <d v="2025-04-12T00:00:00"/>
    <m/>
    <x v="69"/>
    <n v="-45912"/>
    <x v="0"/>
    <m/>
  </r>
  <r>
    <x v="80"/>
    <s v="VNA"/>
    <s v="Infrastructure"/>
    <s v="SOW"/>
    <x v="1"/>
    <m/>
    <x v="171"/>
    <n v="0"/>
    <s v="Yes"/>
    <m/>
    <x v="3"/>
    <m/>
    <m/>
    <s v="Weekly"/>
    <m/>
    <m/>
    <m/>
    <m/>
    <d v="2021-07-01T00:00:00"/>
    <s v="ON-GOING"/>
    <x v="1"/>
    <s v=""/>
    <x v="1"/>
    <m/>
  </r>
  <r>
    <x v="80"/>
    <m/>
    <m/>
    <s v="SOW"/>
    <x v="1"/>
    <m/>
    <x v="172"/>
    <n v="0"/>
    <m/>
    <m/>
    <x v="0"/>
    <m/>
    <m/>
    <m/>
    <m/>
    <m/>
    <m/>
    <m/>
    <m/>
    <m/>
    <x v="0"/>
    <n v="-45912"/>
    <x v="0"/>
    <m/>
  </r>
  <r>
    <x v="80"/>
    <m/>
    <m/>
    <s v="SOW"/>
    <x v="1"/>
    <m/>
    <x v="173"/>
    <n v="0"/>
    <m/>
    <m/>
    <x v="0"/>
    <m/>
    <m/>
    <m/>
    <m/>
    <m/>
    <m/>
    <m/>
    <m/>
    <m/>
    <x v="0"/>
    <n v="-45912"/>
    <x v="0"/>
    <m/>
  </r>
  <r>
    <x v="81"/>
    <s v="VT"/>
    <s v="Infrastructure"/>
    <s v="SOW"/>
    <x v="2"/>
    <m/>
    <x v="174"/>
    <s v="-"/>
    <s v="No"/>
    <m/>
    <x v="5"/>
    <m/>
    <m/>
    <m/>
    <m/>
    <m/>
    <m/>
    <m/>
    <m/>
    <m/>
    <x v="0"/>
    <n v="-45912"/>
    <x v="0"/>
    <m/>
  </r>
  <r>
    <x v="81"/>
    <s v="VT"/>
    <s v="Infrastructure"/>
    <s v="SOW"/>
    <x v="2"/>
    <m/>
    <x v="82"/>
    <n v="0"/>
    <s v="Yes"/>
    <s v="Yes"/>
    <x v="3"/>
    <m/>
    <n v="1004340"/>
    <s v="Monthly"/>
    <m/>
    <m/>
    <m/>
    <m/>
    <d v="2023-04-01T00:00:00"/>
    <n v="12"/>
    <x v="70"/>
    <n v="-529"/>
    <x v="0"/>
    <m/>
  </r>
  <r>
    <x v="81"/>
    <s v="VT"/>
    <s v="Infrastructure"/>
    <s v="SOW"/>
    <x v="1"/>
    <m/>
    <x v="175"/>
    <s v="-"/>
    <s v="Yes"/>
    <s v="Yes"/>
    <x v="0"/>
    <m/>
    <m/>
    <m/>
    <m/>
    <m/>
    <m/>
    <m/>
    <d v="2025-02-24T00:00:00"/>
    <m/>
    <x v="71"/>
    <n v="-45912"/>
    <x v="0"/>
    <m/>
  </r>
  <r>
    <x v="81"/>
    <s v="VT"/>
    <s v="Infrastructure"/>
    <s v="SOW"/>
    <x v="1"/>
    <m/>
    <x v="176"/>
    <n v="0"/>
    <s v="Yes"/>
    <s v="Yes"/>
    <x v="3"/>
    <m/>
    <m/>
    <m/>
    <m/>
    <m/>
    <m/>
    <m/>
    <d v="2023-09-25T00:00:00"/>
    <s v="TBD"/>
    <x v="1"/>
    <s v=""/>
    <x v="1"/>
    <m/>
  </r>
  <r>
    <x v="82"/>
    <s v="VNA"/>
    <s v="Infrastructure"/>
    <s v="SOW"/>
    <x v="1"/>
    <m/>
    <x v="177"/>
    <s v="Anthony Mashkovich"/>
    <s v="Yes"/>
    <s v="Yes"/>
    <x v="5"/>
    <m/>
    <m/>
    <m/>
    <m/>
    <m/>
    <m/>
    <m/>
    <d v="2023-09-25T00:00:00"/>
    <s v="ON-GOING"/>
    <x v="1"/>
    <s v=""/>
    <x v="1"/>
    <s v="Project Paused until Nov. 2024"/>
  </r>
  <r>
    <x v="82"/>
    <s v="VNA"/>
    <s v="Infrastructure"/>
    <s v="Change Order"/>
    <x v="1"/>
    <m/>
    <x v="178"/>
    <s v="Anthony Mashkovich"/>
    <s v="Yes"/>
    <s v="Yes"/>
    <x v="3"/>
    <m/>
    <m/>
    <m/>
    <m/>
    <m/>
    <m/>
    <m/>
    <d v="2024-11-01T00:00:00"/>
    <s v="TBD"/>
    <x v="1"/>
    <s v=""/>
    <x v="1"/>
    <m/>
  </r>
  <r>
    <x v="83"/>
    <s v="VNA"/>
    <s v="Development"/>
    <s v="SOW"/>
    <x v="2"/>
    <d v="2025-02-20T00:00:00"/>
    <x v="179"/>
    <s v="-"/>
    <s v="Yes"/>
    <s v="Yes"/>
    <x v="0"/>
    <m/>
    <m/>
    <m/>
    <m/>
    <m/>
    <m/>
    <m/>
    <d v="2025-02-20T00:00:00"/>
    <n v="3"/>
    <x v="72"/>
    <n v="-45912"/>
    <x v="0"/>
    <m/>
  </r>
  <r>
    <x v="84"/>
    <s v="VNA"/>
    <s v="Infrastructure"/>
    <s v="SOW"/>
    <x v="3"/>
    <d v="2025-02-13T00:00:00"/>
    <x v="180"/>
    <s v="-"/>
    <s v="Yes"/>
    <s v="Yes"/>
    <x v="0"/>
    <m/>
    <m/>
    <m/>
    <m/>
    <m/>
    <m/>
    <m/>
    <d v="2025-02-17T00:00:00"/>
    <s v="TBD"/>
    <x v="1"/>
    <n v="-45912"/>
    <x v="0"/>
    <m/>
  </r>
  <r>
    <x v="0"/>
    <m/>
    <m/>
    <m/>
    <x v="0"/>
    <m/>
    <x v="0"/>
    <s v="-"/>
    <m/>
    <m/>
    <x v="0"/>
    <m/>
    <m/>
    <m/>
    <m/>
    <m/>
    <m/>
    <m/>
    <m/>
    <m/>
    <x v="0"/>
    <n v="-45912"/>
    <x v="0"/>
    <m/>
  </r>
  <r>
    <x v="0"/>
    <m/>
    <m/>
    <m/>
    <x v="0"/>
    <m/>
    <x v="0"/>
    <s v="-"/>
    <m/>
    <m/>
    <x v="0"/>
    <m/>
    <m/>
    <m/>
    <m/>
    <m/>
    <m/>
    <m/>
    <m/>
    <m/>
    <x v="0"/>
    <n v="-45912"/>
    <x v="0"/>
    <m/>
  </r>
</pivotCacheRecords>
</file>

<file path=xl/pivotCache/pivotCacheRecords2.xml><?xml version="1.0" encoding="utf-8"?>
<pivotCacheRecords xmlns="http://schemas.openxmlformats.org/spreadsheetml/2006/main" xmlns:r="http://schemas.openxmlformats.org/officeDocument/2006/relationships" count="215">
  <r>
    <x v="0"/>
    <s v="Prakash Rikhilal"/>
    <m/>
    <s v="MSA"/>
    <x v="0"/>
    <m/>
    <s v="Master Services Agreement"/>
    <x v="0"/>
    <m/>
    <x v="0"/>
    <s v="VNA"/>
    <m/>
    <m/>
    <x v="0"/>
    <m/>
    <m/>
    <m/>
    <s v="-"/>
    <d v="2020-08-10T00:00:00"/>
    <s v="ON-GOING"/>
    <s v=""/>
    <s v=""/>
    <s v="Yes"/>
    <m/>
    <s v="$1M"/>
    <s v="$1M"/>
    <m/>
    <m/>
    <s v="-"/>
    <m/>
    <s v="-"/>
    <s v="-"/>
    <m/>
    <m/>
    <m/>
    <m/>
    <m/>
    <m/>
    <m/>
    <m/>
    <s v="$100K"/>
    <s v="G"/>
    <m/>
  </r>
  <r>
    <x v="0"/>
    <s v="Prakash Rikhilal"/>
    <s v="Infrastructure"/>
    <s v="SOW"/>
    <x v="1"/>
    <s v="Melissa Schuetter"/>
    <s v="VNA.ABC.Managed Services SoW.EDW Monitoring.Offshore.2023July.docx"/>
    <x v="0"/>
    <s v="Yes"/>
    <x v="0"/>
    <s v="VNA"/>
    <m/>
    <s v="PO22-24864"/>
    <x v="1"/>
    <m/>
    <m/>
    <m/>
    <m/>
    <d v="2023-07-01T00:00:00"/>
    <n v="6"/>
    <d v="2024-01-01T00:00:00"/>
    <n v="-801"/>
    <m/>
    <m/>
    <m/>
    <m/>
    <m/>
    <m/>
    <m/>
    <m/>
    <m/>
    <m/>
    <m/>
    <m/>
    <m/>
    <m/>
    <m/>
    <m/>
    <m/>
    <m/>
    <m/>
    <s v="R"/>
    <m/>
  </r>
  <r>
    <x v="0"/>
    <s v="Prakash Rikhilal"/>
    <s v="Development"/>
    <s v="SOW"/>
    <x v="1"/>
    <m/>
    <s v="Offshore - Monitoring &amp; Support"/>
    <x v="0"/>
    <m/>
    <x v="1"/>
    <s v="VT"/>
    <s v="Yes"/>
    <m/>
    <x v="2"/>
    <m/>
    <n v="13410"/>
    <n v="160920"/>
    <n v="222"/>
    <d v="2022-06-27T00:00:00"/>
    <n v="12"/>
    <d v="2023-06-27T00:00:00"/>
    <n v="-989"/>
    <s v="No"/>
    <m/>
    <m/>
    <s v="-"/>
    <m/>
    <m/>
    <s v="-"/>
    <m/>
    <s v="-"/>
    <s v="-"/>
    <m/>
    <m/>
    <m/>
    <m/>
    <m/>
    <m/>
    <m/>
    <m/>
    <s v="-"/>
    <s v="R"/>
    <m/>
  </r>
  <r>
    <x v="0"/>
    <s v="Prakash Rikhilal"/>
    <s v="Infrastructure"/>
    <s v="SOW"/>
    <x v="1"/>
    <s v="Melissa Schuetter"/>
    <s v="Offshore - DBA Support"/>
    <x v="0"/>
    <m/>
    <x v="0"/>
    <s v="VNA"/>
    <s v="Yes"/>
    <m/>
    <x v="3"/>
    <m/>
    <n v="9000"/>
    <n v="108000"/>
    <s v="40 hrs/week"/>
    <d v="2023-02-15T00:00:00"/>
    <n v="12"/>
    <d v="2024-02-15T00:00:00"/>
    <n v="-756"/>
    <s v="No"/>
    <m/>
    <s v="-"/>
    <s v="-"/>
    <m/>
    <m/>
    <s v="-"/>
    <m/>
    <s v="-"/>
    <s v="-"/>
    <m/>
    <m/>
    <m/>
    <m/>
    <m/>
    <m/>
    <m/>
    <m/>
    <s v="-"/>
    <s v="R"/>
    <m/>
  </r>
  <r>
    <x v="0"/>
    <s v="Prakash Rikhilal"/>
    <m/>
    <s v="SOW"/>
    <x v="1"/>
    <s v="Melissa Schuetter"/>
    <s v="VNA.ABC.Professional Services.SoW.2024Jan-Jun.docx"/>
    <x v="0"/>
    <s v="Yes"/>
    <x v="0"/>
    <s v="VNA"/>
    <m/>
    <m/>
    <x v="1"/>
    <m/>
    <m/>
    <m/>
    <m/>
    <d v="2024-01-01T00:00:00"/>
    <s v="TBD"/>
    <d v="2025-01-01T00:00:00"/>
    <n v="-435"/>
    <m/>
    <m/>
    <m/>
    <m/>
    <m/>
    <m/>
    <m/>
    <m/>
    <m/>
    <m/>
    <m/>
    <m/>
    <m/>
    <m/>
    <m/>
    <m/>
    <m/>
    <m/>
    <m/>
    <s v="R"/>
    <m/>
  </r>
  <r>
    <x v="0"/>
    <s v="Prakash Rikhilal"/>
    <m/>
    <s v="SOW"/>
    <x v="1"/>
    <s v="Melissa Schuetter"/>
    <s v="VNA.ABC.Support Services SoW.EDW Monitoring.Offshore.2024Jan-Jun.docx"/>
    <x v="0"/>
    <s v="Yes"/>
    <x v="0"/>
    <s v="VNA"/>
    <m/>
    <m/>
    <x v="1"/>
    <m/>
    <m/>
    <m/>
    <m/>
    <d v="2024-01-01T00:00:00"/>
    <n v="6"/>
    <d v="2024-07-01T00:00:00"/>
    <n v="-619"/>
    <m/>
    <m/>
    <m/>
    <m/>
    <m/>
    <m/>
    <m/>
    <m/>
    <m/>
    <m/>
    <m/>
    <m/>
    <m/>
    <m/>
    <m/>
    <m/>
    <m/>
    <m/>
    <m/>
    <s v="R"/>
    <m/>
  </r>
  <r>
    <x v="0"/>
    <s v="Prakash Rikhilal"/>
    <m/>
    <s v="SOW"/>
    <x v="1"/>
    <s v="Melissa Schuetter"/>
    <s v="VNA.ABC.Support Services SoW.Offshore DBA.2024Mar-Dec.docx"/>
    <x v="0"/>
    <s v="Yes"/>
    <x v="0"/>
    <s v="VNA"/>
    <m/>
    <m/>
    <x v="1"/>
    <m/>
    <m/>
    <m/>
    <m/>
    <d v="2024-03-01T00:00:00"/>
    <n v="10"/>
    <d v="2024-12-31T00:00:00"/>
    <n v="-436"/>
    <m/>
    <m/>
    <m/>
    <m/>
    <m/>
    <m/>
    <m/>
    <m/>
    <m/>
    <m/>
    <m/>
    <m/>
    <m/>
    <m/>
    <m/>
    <m/>
    <m/>
    <m/>
    <m/>
    <s v="R"/>
    <m/>
  </r>
  <r>
    <x v="0"/>
    <s v="Prakash Rikhilal"/>
    <s v="Infrastructure"/>
    <s v="SOW"/>
    <x v="2"/>
    <s v="Melissa Schuetter"/>
    <s v="ABC - Professional Services"/>
    <x v="0"/>
    <m/>
    <x v="0"/>
    <s v="VNA"/>
    <s v="Yes"/>
    <s v="PO23-29200"/>
    <x v="3"/>
    <m/>
    <m/>
    <n v="91000"/>
    <n v="520"/>
    <d v="2022-03-01T00:00:00"/>
    <s v="ON-GOING"/>
    <s v=""/>
    <s v=""/>
    <s v="No"/>
    <m/>
    <s v="-"/>
    <s v="-"/>
    <m/>
    <m/>
    <s v="-"/>
    <m/>
    <s v="-"/>
    <s v="-"/>
    <m/>
    <m/>
    <m/>
    <m/>
    <m/>
    <m/>
    <m/>
    <m/>
    <s v="-"/>
    <s v="G"/>
    <m/>
  </r>
  <r>
    <x v="0"/>
    <s v="Prakash Rikhilal"/>
    <m/>
    <s v="SOW"/>
    <x v="2"/>
    <s v="Melissa Schuetter"/>
    <s v="VNA.ABC_DBA Professional Services_SoW_May 2023.docx"/>
    <x v="0"/>
    <s v="Yes"/>
    <x v="0"/>
    <s v="VNA"/>
    <m/>
    <m/>
    <x v="1"/>
    <m/>
    <m/>
    <m/>
    <s v="60/week"/>
    <d v="2023-05-23T00:00:00"/>
    <s v="ON-GOING"/>
    <s v=""/>
    <s v=""/>
    <m/>
    <m/>
    <m/>
    <m/>
    <m/>
    <m/>
    <m/>
    <m/>
    <m/>
    <m/>
    <m/>
    <m/>
    <m/>
    <m/>
    <m/>
    <m/>
    <m/>
    <m/>
    <m/>
    <s v="G"/>
    <m/>
  </r>
  <r>
    <x v="0"/>
    <s v="Prakash Rikhilal"/>
    <m/>
    <s v="SOW"/>
    <x v="2"/>
    <s v="Melissa Schuetter"/>
    <s v="VNA.ABC_Professional Services_SoW_Q4 2023.docx"/>
    <x v="0"/>
    <s v="Yes"/>
    <x v="0"/>
    <s v="VNA"/>
    <s v="Yes"/>
    <m/>
    <x v="1"/>
    <m/>
    <m/>
    <m/>
    <n v="356"/>
    <d v="2023-10-15T00:00:00"/>
    <s v="TBD"/>
    <s v=""/>
    <s v=""/>
    <m/>
    <m/>
    <m/>
    <m/>
    <m/>
    <m/>
    <m/>
    <m/>
    <m/>
    <m/>
    <m/>
    <m/>
    <m/>
    <m/>
    <m/>
    <m/>
    <m/>
    <m/>
    <m/>
    <s v="G"/>
    <m/>
  </r>
  <r>
    <x v="0"/>
    <s v="Prakash Rikhilal"/>
    <s v="Infrastructure"/>
    <s v="SOW"/>
    <x v="2"/>
    <s v="Melissa Schuetter"/>
    <s v="ABC-Fitness BI - Azure DevOps Integration"/>
    <x v="0"/>
    <m/>
    <x v="0"/>
    <s v="VNA"/>
    <s v="Yes"/>
    <m/>
    <x v="3"/>
    <m/>
    <m/>
    <n v="229600"/>
    <n v="1312"/>
    <d v="2022-01-25T00:00:00"/>
    <s v="ON-GOING"/>
    <s v=""/>
    <s v=""/>
    <s v="No"/>
    <m/>
    <s v="-"/>
    <s v="-"/>
    <m/>
    <m/>
    <s v="-"/>
    <m/>
    <s v="-"/>
    <s v="-"/>
    <m/>
    <m/>
    <m/>
    <m/>
    <m/>
    <m/>
    <m/>
    <m/>
    <s v="-"/>
    <s v="G"/>
    <m/>
  </r>
  <r>
    <x v="1"/>
    <s v="Kevin Hostintler"/>
    <m/>
    <s v="MSA"/>
    <x v="0"/>
    <m/>
    <s v="Master Services Agreement"/>
    <x v="1"/>
    <m/>
    <x v="2"/>
    <s v="VNA"/>
    <m/>
    <m/>
    <x v="0"/>
    <m/>
    <m/>
    <m/>
    <s v="-"/>
    <d v="2018-06-01T00:00:00"/>
    <s v="ON-GOING"/>
    <s v=""/>
    <s v=""/>
    <s v="Yes"/>
    <m/>
    <s v="$1M"/>
    <s v="$1M"/>
    <m/>
    <m/>
    <s v="-"/>
    <m/>
    <s v="-"/>
    <s v="-"/>
    <m/>
    <m/>
    <m/>
    <m/>
    <m/>
    <m/>
    <m/>
    <m/>
    <s v="$100K"/>
    <s v="G"/>
    <s v="Last billed in 2018"/>
  </r>
  <r>
    <x v="1"/>
    <s v="Kevin Hostintler"/>
    <s v="Infrastructure"/>
    <s v="SOW"/>
    <x v="1"/>
    <m/>
    <s v="On Demand Consulting - Signed"/>
    <x v="0"/>
    <m/>
    <x v="2"/>
    <s v="VNA"/>
    <m/>
    <m/>
    <x v="0"/>
    <m/>
    <m/>
    <m/>
    <s v="135/hour"/>
    <d v="2022-06-01T00:00:00"/>
    <s v="ON-GOING"/>
    <s v=""/>
    <s v=""/>
    <s v="No"/>
    <m/>
    <s v="-"/>
    <s v="-"/>
    <m/>
    <m/>
    <s v="-"/>
    <m/>
    <s v="-"/>
    <s v="-"/>
    <m/>
    <m/>
    <m/>
    <m/>
    <m/>
    <m/>
    <m/>
    <m/>
    <s v="-"/>
    <s v="G"/>
    <m/>
  </r>
  <r>
    <x v="2"/>
    <s v="Christina Green"/>
    <s v="Infrastructure"/>
    <s v="SOW"/>
    <x v="1"/>
    <m/>
    <s v="Oracle ERP Managed Services"/>
    <x v="0"/>
    <m/>
    <x v="2"/>
    <s v="VNA"/>
    <m/>
    <m/>
    <x v="2"/>
    <m/>
    <n v="4500"/>
    <m/>
    <n v="30"/>
    <d v="2019-01-01T00:00:00"/>
    <s v="ON-GOING"/>
    <s v=""/>
    <s v=""/>
    <s v="No"/>
    <m/>
    <s v="-"/>
    <s v="-"/>
    <m/>
    <m/>
    <s v="-"/>
    <m/>
    <s v="-"/>
    <s v="-"/>
    <m/>
    <m/>
    <m/>
    <m/>
    <m/>
    <m/>
    <m/>
    <m/>
    <s v="-"/>
    <s v="G"/>
    <m/>
  </r>
  <r>
    <x v="3"/>
    <s v="Roger Santone"/>
    <s v="Infrastructure"/>
    <s v="SOW"/>
    <x v="1"/>
    <m/>
    <s v="DBA Managed Services"/>
    <x v="0"/>
    <m/>
    <x v="2"/>
    <s v="VNA"/>
    <m/>
    <m/>
    <x v="2"/>
    <m/>
    <n v="5000"/>
    <n v="60000"/>
    <n v="30"/>
    <d v="2022-07-01T00:00:00"/>
    <s v="Expired"/>
    <s v=""/>
    <s v=""/>
    <s v="No"/>
    <m/>
    <s v="-"/>
    <s v="-"/>
    <m/>
    <m/>
    <s v="-"/>
    <m/>
    <s v="-"/>
    <s v="-"/>
    <m/>
    <m/>
    <m/>
    <m/>
    <m/>
    <m/>
    <m/>
    <m/>
    <s v="-"/>
    <s v="G"/>
    <m/>
  </r>
  <r>
    <x v="4"/>
    <s v="Roger Santone"/>
    <m/>
    <s v="MSA"/>
    <x v="0"/>
    <m/>
    <s v="VNA.MSA.AMERICAN_LEATHER.2023.docx"/>
    <x v="0"/>
    <s v="Yes"/>
    <x v="0"/>
    <s v="VNA"/>
    <m/>
    <m/>
    <x v="1"/>
    <m/>
    <m/>
    <m/>
    <m/>
    <d v="2023-08-01T00:00:00"/>
    <s v="ON-GOING"/>
    <s v=""/>
    <s v=""/>
    <m/>
    <m/>
    <m/>
    <m/>
    <m/>
    <m/>
    <m/>
    <m/>
    <m/>
    <m/>
    <m/>
    <m/>
    <m/>
    <m/>
    <m/>
    <m/>
    <m/>
    <m/>
    <m/>
    <s v="G"/>
    <m/>
  </r>
  <r>
    <x v="4"/>
    <s v="Roger Santone"/>
    <s v="Development"/>
    <s v="SOW"/>
    <x v="2"/>
    <s v="Sabika Rizvi"/>
    <s v="SOW.American_Leather.Web_Services.SOW.ORACLE_EBS.AUG2023.docx"/>
    <x v="0"/>
    <s v="Yes"/>
    <x v="0"/>
    <s v="VNA"/>
    <m/>
    <m/>
    <x v="1"/>
    <m/>
    <m/>
    <m/>
    <m/>
    <d v="2023-08-22T00:00:00"/>
    <s v="TBD"/>
    <s v=""/>
    <s v=""/>
    <m/>
    <m/>
    <m/>
    <m/>
    <m/>
    <m/>
    <m/>
    <m/>
    <m/>
    <m/>
    <m/>
    <m/>
    <m/>
    <m/>
    <m/>
    <m/>
    <m/>
    <m/>
    <m/>
    <s v="G"/>
    <m/>
  </r>
  <r>
    <x v="4"/>
    <s v="Roger Santone"/>
    <s v="Development"/>
    <s v="SOW"/>
    <x v="2"/>
    <s v="Beatriz Aguirre"/>
    <s v="SOW_HRMS_and_Financial_Archiving..Executed"/>
    <x v="0"/>
    <s v="Yes"/>
    <x v="0"/>
    <s v="VNA"/>
    <s v="Yes"/>
    <m/>
    <x v="1"/>
    <m/>
    <m/>
    <m/>
    <m/>
    <d v="2023-08-14T00:00:00"/>
    <s v="TBD"/>
    <d v="2024-08-31T00:00:00"/>
    <n v="-558"/>
    <m/>
    <m/>
    <m/>
    <m/>
    <m/>
    <m/>
    <m/>
    <m/>
    <m/>
    <m/>
    <m/>
    <m/>
    <m/>
    <m/>
    <m/>
    <m/>
    <m/>
    <m/>
    <m/>
    <s v="R"/>
    <m/>
  </r>
  <r>
    <x v="4"/>
    <s v="Roger Santone"/>
    <s v="Development"/>
    <s v="SOW"/>
    <x v="2"/>
    <s v="Leisa Pitner"/>
    <s v="APEX Staff Augmentation- Transfer Views from Oracle to Alternative Data Store"/>
    <x v="0"/>
    <s v="Yes"/>
    <x v="0"/>
    <s v="VNA"/>
    <m/>
    <m/>
    <x v="1"/>
    <m/>
    <m/>
    <m/>
    <n v="80"/>
    <d v="2023-07-11T00:00:00"/>
    <s v="TBD"/>
    <s v=""/>
    <s v=""/>
    <m/>
    <m/>
    <m/>
    <m/>
    <m/>
    <m/>
    <m/>
    <m/>
    <m/>
    <m/>
    <m/>
    <m/>
    <m/>
    <m/>
    <m/>
    <m/>
    <m/>
    <m/>
    <m/>
    <s v="G"/>
    <m/>
  </r>
  <r>
    <x v="4"/>
    <s v="Roger Santone"/>
    <s v="Development"/>
    <s v="SOW"/>
    <x v="2"/>
    <s v="Leisa Pitner"/>
    <s v="SOW.AMERICAN LEATHER.VNA STAFF AUGUMENTATION.APR2023.docx"/>
    <x v="0"/>
    <s v="Yes"/>
    <x v="0"/>
    <s v="VNA"/>
    <m/>
    <m/>
    <x v="2"/>
    <s v="-"/>
    <n v="12250"/>
    <n v="147000"/>
    <n v="192"/>
    <d v="2023-04-17T00:00:00"/>
    <n v="12"/>
    <d v="2024-04-17T00:00:00"/>
    <n v="-694"/>
    <m/>
    <m/>
    <m/>
    <m/>
    <m/>
    <m/>
    <m/>
    <m/>
    <m/>
    <m/>
    <m/>
    <m/>
    <m/>
    <m/>
    <m/>
    <m/>
    <m/>
    <m/>
    <m/>
    <s v="R"/>
    <m/>
  </r>
  <r>
    <x v="3"/>
    <s v="Roger Santone"/>
    <m/>
    <s v="MSA"/>
    <x v="0"/>
    <m/>
    <s v="Master Services Agreement"/>
    <x v="0"/>
    <m/>
    <x v="0"/>
    <s v="VNA"/>
    <m/>
    <m/>
    <x v="0"/>
    <m/>
    <m/>
    <m/>
    <s v="-"/>
    <d v="2017-05-25T00:00:00"/>
    <s v="ON-GOING"/>
    <s v=""/>
    <s v=""/>
    <s v="Yes"/>
    <m/>
    <s v="$2M"/>
    <s v="$1M"/>
    <m/>
    <m/>
    <s v="$5M"/>
    <m/>
    <s v="$6M"/>
    <s v="$1M"/>
    <m/>
    <m/>
    <m/>
    <m/>
    <m/>
    <m/>
    <m/>
    <m/>
    <s v="$1M"/>
    <s v="G"/>
    <m/>
  </r>
  <r>
    <x v="5"/>
    <n v="0"/>
    <s v="Infrastructure"/>
    <s v="SOW"/>
    <x v="2"/>
    <m/>
    <s v="Asset Works Database and AOP Assessment SOW"/>
    <x v="1"/>
    <m/>
    <x v="3"/>
    <s v="VNA"/>
    <m/>
    <m/>
    <x v="1"/>
    <m/>
    <m/>
    <m/>
    <m/>
    <d v="2023-04-20T00:00:00"/>
    <m/>
    <d v="2023-04-20T00:00:00"/>
    <n v="2693"/>
    <m/>
    <m/>
    <m/>
    <m/>
    <m/>
    <m/>
    <m/>
    <m/>
    <m/>
    <m/>
    <m/>
    <m/>
    <m/>
    <m/>
    <m/>
    <m/>
    <m/>
    <m/>
    <m/>
    <s v="G"/>
    <m/>
  </r>
  <r>
    <x v="6"/>
    <n v="0"/>
    <m/>
    <s v="NDA"/>
    <x v="0"/>
    <m/>
    <s v="Non-Disclosure Agreement"/>
    <x v="0"/>
    <m/>
    <x v="0"/>
    <s v="VNA"/>
    <m/>
    <m/>
    <x v="1"/>
    <m/>
    <m/>
    <m/>
    <m/>
    <d v="2022-11-18T00:00:00"/>
    <n v="24"/>
    <d v="2024-11-18T00:00:00"/>
    <n v="-479"/>
    <s v="No"/>
    <m/>
    <m/>
    <m/>
    <m/>
    <m/>
    <m/>
    <m/>
    <m/>
    <m/>
    <m/>
    <m/>
    <m/>
    <m/>
    <m/>
    <m/>
    <m/>
    <m/>
    <m/>
    <s v="R"/>
    <m/>
  </r>
  <r>
    <x v="7"/>
    <n v="0"/>
    <m/>
    <s v="MSA"/>
    <x v="0"/>
    <m/>
    <s v="Master Services Agreement"/>
    <x v="0"/>
    <m/>
    <x v="0"/>
    <s v="VNA"/>
    <m/>
    <m/>
    <x v="1"/>
    <m/>
    <m/>
    <m/>
    <m/>
    <d v="2023-03-31T00:00:00"/>
    <n v="36"/>
    <d v="2026-03-31T00:00:00"/>
    <n v="19"/>
    <m/>
    <m/>
    <m/>
    <m/>
    <m/>
    <m/>
    <m/>
    <m/>
    <m/>
    <m/>
    <m/>
    <m/>
    <m/>
    <m/>
    <m/>
    <m/>
    <m/>
    <m/>
    <m/>
    <s v="R"/>
    <m/>
  </r>
  <r>
    <x v="7"/>
    <n v="0"/>
    <s v="Development"/>
    <s v="SOW"/>
    <x v="2"/>
    <m/>
    <s v="Data Input/Automation POV"/>
    <x v="0"/>
    <m/>
    <x v="1"/>
    <s v="VNA"/>
    <m/>
    <m/>
    <x v="1"/>
    <m/>
    <m/>
    <m/>
    <m/>
    <d v="2023-03-27T00:00:00"/>
    <n v="2"/>
    <d v="2023-05-27T00:00:00"/>
    <n v="-1020"/>
    <m/>
    <m/>
    <m/>
    <m/>
    <m/>
    <m/>
    <m/>
    <m/>
    <m/>
    <m/>
    <m/>
    <m/>
    <m/>
    <m/>
    <m/>
    <m/>
    <m/>
    <m/>
    <m/>
    <s v="R"/>
    <m/>
  </r>
  <r>
    <x v="8"/>
    <n v="0"/>
    <m/>
    <s v="MSA"/>
    <x v="0"/>
    <m/>
    <s v="Master Services Agreement"/>
    <x v="1"/>
    <m/>
    <x v="2"/>
    <s v="VNA"/>
    <m/>
    <m/>
    <x v="0"/>
    <m/>
    <m/>
    <m/>
    <s v="-"/>
    <m/>
    <m/>
    <d v="1899-12-30T00:00:00"/>
    <n v="-46093"/>
    <s v="Yes"/>
    <m/>
    <s v="$5M"/>
    <s v="$5M"/>
    <s v="Statutory Limits"/>
    <s v="$1M"/>
    <m/>
    <m/>
    <m/>
    <m/>
    <m/>
    <m/>
    <m/>
    <m/>
    <m/>
    <m/>
    <m/>
    <m/>
    <s v="$1M"/>
    <s v="R"/>
    <s v="We assumed this client when we bought Sumner Technologies in 2018; I went through some of that stuff and can’t find anything."/>
  </r>
  <r>
    <x v="8"/>
    <n v="0"/>
    <m/>
    <s v="NDA"/>
    <x v="0"/>
    <m/>
    <s v="Non-Disclosure Agreement"/>
    <x v="1"/>
    <m/>
    <x v="2"/>
    <s v="VNA"/>
    <m/>
    <m/>
    <x v="1"/>
    <m/>
    <m/>
    <m/>
    <m/>
    <m/>
    <m/>
    <d v="1899-12-30T00:00:00"/>
    <n v="-46093"/>
    <m/>
    <m/>
    <m/>
    <m/>
    <m/>
    <m/>
    <m/>
    <m/>
    <m/>
    <m/>
    <m/>
    <m/>
    <m/>
    <m/>
    <m/>
    <m/>
    <m/>
    <m/>
    <m/>
    <s v="R"/>
    <m/>
  </r>
  <r>
    <x v="8"/>
    <n v="0"/>
    <m/>
    <s v="PO"/>
    <x v="2"/>
    <m/>
    <s v="Sql/Apex Training.2022"/>
    <x v="1"/>
    <m/>
    <x v="2"/>
    <s v="VNA"/>
    <m/>
    <s v="F3RKHXJ"/>
    <x v="1"/>
    <m/>
    <m/>
    <m/>
    <m/>
    <m/>
    <m/>
    <d v="1899-12-30T00:00:00"/>
    <n v="-46093"/>
    <s v="No"/>
    <m/>
    <m/>
    <m/>
    <m/>
    <m/>
    <m/>
    <m/>
    <m/>
    <m/>
    <m/>
    <m/>
    <m/>
    <m/>
    <m/>
    <m/>
    <m/>
    <m/>
    <m/>
    <s v="R"/>
    <m/>
  </r>
  <r>
    <x v="4"/>
    <s v="Roger Santone"/>
    <s v="Project Management"/>
    <s v="SOW"/>
    <x v="2"/>
    <s v="Leisa Pitner"/>
    <s v="ecommerce program manager support SOW signed 9 December 2023"/>
    <x v="0"/>
    <s v="Yes"/>
    <x v="0"/>
    <s v="VT"/>
    <m/>
    <m/>
    <x v="1"/>
    <m/>
    <m/>
    <m/>
    <m/>
    <d v="2024-12-08T00:00:00"/>
    <s v="TBD"/>
    <d v="2024-03-31T00:00:00"/>
    <n v="-711"/>
    <m/>
    <m/>
    <m/>
    <m/>
    <m/>
    <m/>
    <m/>
    <m/>
    <m/>
    <m/>
    <m/>
    <m/>
    <m/>
    <m/>
    <m/>
    <m/>
    <m/>
    <m/>
    <m/>
    <s v="R"/>
    <m/>
  </r>
  <r>
    <x v="9"/>
    <n v="0"/>
    <s v="Infrastructure"/>
    <s v="SOW"/>
    <x v="2"/>
    <m/>
    <s v="Oracle Apex Timekeeping"/>
    <x v="1"/>
    <m/>
    <x v="4"/>
    <s v="VNA"/>
    <m/>
    <m/>
    <x v="2"/>
    <m/>
    <m/>
    <m/>
    <n v="100"/>
    <d v="2022-10-01T00:00:00"/>
    <n v="24"/>
    <d v="2024-10-01T00:00:00"/>
    <n v="-527"/>
    <s v="No"/>
    <m/>
    <m/>
    <m/>
    <m/>
    <m/>
    <m/>
    <m/>
    <m/>
    <m/>
    <m/>
    <m/>
    <m/>
    <m/>
    <m/>
    <m/>
    <m/>
    <m/>
    <m/>
    <s v="R"/>
    <m/>
  </r>
  <r>
    <x v="10"/>
    <n v="0"/>
    <m/>
    <s v="NDA"/>
    <x v="0"/>
    <m/>
    <s v="CACI_Agreement.NDA.12022022"/>
    <x v="0"/>
    <m/>
    <x v="5"/>
    <s v="VNA"/>
    <m/>
    <m/>
    <x v="1"/>
    <m/>
    <m/>
    <m/>
    <m/>
    <d v="2022-12-02T00:00:00"/>
    <n v="36"/>
    <d v="2025-12-02T00:00:00"/>
    <n v="-100"/>
    <m/>
    <m/>
    <m/>
    <m/>
    <m/>
    <m/>
    <m/>
    <m/>
    <m/>
    <m/>
    <m/>
    <m/>
    <m/>
    <m/>
    <m/>
    <m/>
    <m/>
    <m/>
    <m/>
    <s v="R"/>
    <m/>
  </r>
  <r>
    <x v="11"/>
    <n v="0"/>
    <m/>
    <s v="NDA"/>
    <x v="0"/>
    <m/>
    <s v="Non-Disclosure Agreement"/>
    <x v="0"/>
    <m/>
    <x v="0"/>
    <s v="VNA"/>
    <m/>
    <m/>
    <x v="0"/>
    <m/>
    <m/>
    <m/>
    <s v="-"/>
    <d v="2022-11-22T00:00:00"/>
    <n v="36"/>
    <d v="2025-11-22T00:00:00"/>
    <n v="-110"/>
    <s v="Yes"/>
    <m/>
    <s v="$2M"/>
    <s v="$1M"/>
    <s v="$500K"/>
    <m/>
    <m/>
    <m/>
    <m/>
    <m/>
    <m/>
    <m/>
    <m/>
    <s v="$1M"/>
    <s v="$1M"/>
    <s v="$300K"/>
    <s v="$10K"/>
    <s v="$1M"/>
    <m/>
    <s v="R"/>
    <m/>
  </r>
  <r>
    <x v="11"/>
    <n v="0"/>
    <m/>
    <s v="MSA"/>
    <x v="0"/>
    <m/>
    <s v="Master Services Agreement"/>
    <x v="1"/>
    <m/>
    <x v="5"/>
    <m/>
    <m/>
    <m/>
    <x v="1"/>
    <m/>
    <m/>
    <m/>
    <m/>
    <d v="1900-01-25T00:00:00"/>
    <m/>
    <d v="1900-01-25T00:00:00"/>
    <n v="-46067"/>
    <m/>
    <m/>
    <m/>
    <m/>
    <m/>
    <m/>
    <m/>
    <m/>
    <m/>
    <m/>
    <m/>
    <m/>
    <m/>
    <m/>
    <m/>
    <m/>
    <m/>
    <m/>
    <m/>
    <s v="R"/>
    <m/>
  </r>
  <r>
    <x v="11"/>
    <n v="0"/>
    <s v="Development"/>
    <s v="SOW"/>
    <x v="2"/>
    <m/>
    <s v="KURT Statement of Work"/>
    <x v="0"/>
    <m/>
    <x v="1"/>
    <s v="VNA"/>
    <m/>
    <m/>
    <x v="1"/>
    <m/>
    <m/>
    <m/>
    <m/>
    <d v="2022-12-06T00:00:00"/>
    <n v="12"/>
    <d v="2023-12-06T00:00:00"/>
    <n v="-827"/>
    <m/>
    <m/>
    <m/>
    <m/>
    <m/>
    <m/>
    <m/>
    <m/>
    <m/>
    <m/>
    <m/>
    <m/>
    <m/>
    <m/>
    <m/>
    <m/>
    <m/>
    <m/>
    <m/>
    <s v="R"/>
    <m/>
  </r>
  <r>
    <x v="11"/>
    <n v="0"/>
    <s v="Development"/>
    <s v="SOW"/>
    <x v="2"/>
    <m/>
    <s v="KURT Migration to AWS - 2nd Run"/>
    <x v="0"/>
    <m/>
    <x v="1"/>
    <s v="VNA"/>
    <m/>
    <m/>
    <x v="1"/>
    <m/>
    <m/>
    <m/>
    <m/>
    <d v="2022-12-12T00:00:00"/>
    <n v="12"/>
    <d v="2023-12-12T00:00:00"/>
    <n v="-821"/>
    <m/>
    <m/>
    <m/>
    <m/>
    <m/>
    <m/>
    <m/>
    <m/>
    <m/>
    <m/>
    <m/>
    <m/>
    <m/>
    <m/>
    <m/>
    <m/>
    <m/>
    <m/>
    <m/>
    <s v="R"/>
    <s v="Optional Year 1 (if excersised) 12 December 2023 – 11 December 2024"/>
  </r>
  <r>
    <x v="11"/>
    <n v="0"/>
    <s v="Development"/>
    <s v="SOW"/>
    <x v="3"/>
    <m/>
    <s v="Support LGS Labs’ Kinetic User Repair Tracker KURT database"/>
    <x v="0"/>
    <m/>
    <x v="4"/>
    <s v="VNA"/>
    <m/>
    <m/>
    <x v="2"/>
    <m/>
    <m/>
    <m/>
    <n v="1120"/>
    <d v="2022-12-06T00:00:00"/>
    <n v="24"/>
    <d v="2024-12-06T00:00:00"/>
    <n v="-461"/>
    <m/>
    <m/>
    <s v="-"/>
    <s v="-"/>
    <m/>
    <m/>
    <s v="-"/>
    <m/>
    <s v="-"/>
    <s v="-"/>
    <m/>
    <m/>
    <m/>
    <m/>
    <m/>
    <m/>
    <m/>
    <m/>
    <s v="-"/>
    <s v="R"/>
    <m/>
  </r>
  <r>
    <x v="12"/>
    <n v="0"/>
    <m/>
    <s v="MSA"/>
    <x v="0"/>
    <m/>
    <s v="Master Services Agreement"/>
    <x v="0"/>
    <m/>
    <x v="0"/>
    <s v="VNA"/>
    <m/>
    <m/>
    <x v="1"/>
    <m/>
    <m/>
    <m/>
    <m/>
    <d v="2020-09-28T00:00:00"/>
    <s v="ON-GOING"/>
    <s v=""/>
    <s v=""/>
    <s v="Yes"/>
    <m/>
    <m/>
    <s v="S1M"/>
    <m/>
    <m/>
    <m/>
    <m/>
    <m/>
    <m/>
    <m/>
    <m/>
    <m/>
    <m/>
    <m/>
    <m/>
    <m/>
    <m/>
    <s v="$100K"/>
    <s v="G"/>
    <m/>
  </r>
  <r>
    <x v="12"/>
    <n v="0"/>
    <s v="Development"/>
    <s v="SOW"/>
    <x v="1"/>
    <m/>
    <s v="Capital Sales CRM"/>
    <x v="0"/>
    <m/>
    <x v="0"/>
    <s v="VNA"/>
    <m/>
    <m/>
    <x v="1"/>
    <m/>
    <m/>
    <m/>
    <m/>
    <d v="2020-11-01T00:00:00"/>
    <s v="ON-GOING"/>
    <s v=""/>
    <s v=""/>
    <m/>
    <m/>
    <m/>
    <m/>
    <m/>
    <m/>
    <m/>
    <m/>
    <m/>
    <m/>
    <m/>
    <m/>
    <m/>
    <m/>
    <m/>
    <m/>
    <m/>
    <m/>
    <m/>
    <s v="G"/>
    <m/>
  </r>
  <r>
    <x v="12"/>
    <n v="0"/>
    <s v="Development"/>
    <s v="SOW"/>
    <x v="1"/>
    <m/>
    <s v="CRM SQL Server Migration"/>
    <x v="0"/>
    <m/>
    <x v="1"/>
    <s v="VNA"/>
    <m/>
    <m/>
    <x v="1"/>
    <m/>
    <m/>
    <m/>
    <n v="48"/>
    <d v="2022-03-25T00:00:00"/>
    <n v="12"/>
    <d v="2023-03-25T00:00:00"/>
    <n v="-1083"/>
    <m/>
    <m/>
    <m/>
    <m/>
    <m/>
    <m/>
    <m/>
    <m/>
    <m/>
    <m/>
    <m/>
    <m/>
    <m/>
    <m/>
    <m/>
    <m/>
    <m/>
    <m/>
    <m/>
    <s v="R"/>
    <m/>
  </r>
  <r>
    <x v="13"/>
    <n v="0"/>
    <m/>
    <s v="MSA"/>
    <x v="0"/>
    <m/>
    <s v="Master Services Agreement"/>
    <x v="0"/>
    <m/>
    <x v="0"/>
    <s v="VT"/>
    <m/>
    <m/>
    <x v="1"/>
    <m/>
    <m/>
    <m/>
    <m/>
    <d v="2022-11-04T00:00:00"/>
    <n v="24"/>
    <d v="2024-11-04T00:00:00"/>
    <n v="-493"/>
    <m/>
    <m/>
    <m/>
    <m/>
    <m/>
    <m/>
    <m/>
    <m/>
    <m/>
    <m/>
    <m/>
    <m/>
    <m/>
    <m/>
    <m/>
    <m/>
    <m/>
    <m/>
    <m/>
    <s v="R"/>
    <s v="It appears that the redlines have not been resolved and there is no signed MSA currently in effect. Nonetheless, we do have an active PO."/>
  </r>
  <r>
    <x v="13"/>
    <n v="0"/>
    <m/>
    <s v="NDA"/>
    <x v="0"/>
    <m/>
    <s v="Non-Disclosure Agreement"/>
    <x v="0"/>
    <m/>
    <x v="0"/>
    <s v="VT"/>
    <m/>
    <m/>
    <x v="1"/>
    <m/>
    <m/>
    <m/>
    <m/>
    <d v="2022-08-05T00:00:00"/>
    <n v="60"/>
    <d v="2027-08-05T00:00:00"/>
    <n v="511"/>
    <m/>
    <m/>
    <m/>
    <m/>
    <m/>
    <m/>
    <m/>
    <m/>
    <m/>
    <m/>
    <m/>
    <m/>
    <m/>
    <m/>
    <m/>
    <m/>
    <m/>
    <m/>
    <m/>
    <s v="G"/>
    <m/>
  </r>
  <r>
    <x v="13"/>
    <n v="0"/>
    <s v="Infrastructure"/>
    <s v="Change Order"/>
    <x v="1"/>
    <m/>
    <s v="Clario_Linux_Unix_ODA_Managed_Services_SOW.v3.ADDENDUM.20221122.13.19.docx"/>
    <x v="0"/>
    <m/>
    <x v="0"/>
    <s v="VT"/>
    <m/>
    <m/>
    <x v="1"/>
    <m/>
    <m/>
    <m/>
    <m/>
    <d v="2022-10-14T00:00:00"/>
    <n v="36"/>
    <d v="2025-10-14T00:00:00"/>
    <n v="-149"/>
    <m/>
    <m/>
    <m/>
    <m/>
    <m/>
    <m/>
    <m/>
    <m/>
    <m/>
    <m/>
    <m/>
    <m/>
    <m/>
    <m/>
    <m/>
    <m/>
    <m/>
    <m/>
    <m/>
    <s v="R"/>
    <m/>
  </r>
  <r>
    <x v="13"/>
    <n v="0"/>
    <s v="Infrastructure"/>
    <s v="SOW"/>
    <x v="1"/>
    <s v="Sophie Aaron"/>
    <s v="Clario_Linux_Unix_ODA_Managed_Services_SOW.v3.20220715.FINAL.docx"/>
    <x v="0"/>
    <m/>
    <x v="0"/>
    <s v="VT"/>
    <s v="Yes"/>
    <n v="101102037"/>
    <x v="2"/>
    <m/>
    <m/>
    <m/>
    <s v="50 Hrs/Quarter"/>
    <d v="2022-10-14T00:00:00"/>
    <n v="36"/>
    <d v="2025-10-14T00:00:00"/>
    <n v="-149"/>
    <m/>
    <m/>
    <m/>
    <m/>
    <m/>
    <m/>
    <m/>
    <m/>
    <m/>
    <m/>
    <m/>
    <m/>
    <m/>
    <m/>
    <m/>
    <m/>
    <m/>
    <m/>
    <m/>
    <s v="R"/>
    <s v="Automatic Renewal after 36 months - 10/14/2025"/>
  </r>
  <r>
    <x v="13"/>
    <n v="0"/>
    <s v="Infrastructure"/>
    <s v="Change Order"/>
    <x v="1"/>
    <m/>
    <s v="CLARIO MANAGED SERVICES CHANGE ORDER 5-22-23.docx_x000a_"/>
    <x v="0"/>
    <m/>
    <x v="0"/>
    <s v="VT"/>
    <m/>
    <m/>
    <x v="1"/>
    <m/>
    <m/>
    <m/>
    <m/>
    <d v="2023-07-10T00:00:00"/>
    <m/>
    <d v="2023-07-10T00:00:00"/>
    <n v="-976"/>
    <m/>
    <m/>
    <m/>
    <m/>
    <m/>
    <m/>
    <m/>
    <m/>
    <m/>
    <m/>
    <m/>
    <m/>
    <m/>
    <m/>
    <m/>
    <m/>
    <m/>
    <m/>
    <m/>
    <s v="R"/>
    <s v="Revision in scope for Clario Managed Services agreement specific to monitored _x000a_components: "/>
  </r>
  <r>
    <x v="14"/>
    <n v="0"/>
    <m/>
    <s v="MSA"/>
    <x v="0"/>
    <m/>
    <s v="Master Services Agreement"/>
    <x v="0"/>
    <m/>
    <x v="0"/>
    <s v="VNA"/>
    <m/>
    <m/>
    <x v="1"/>
    <m/>
    <m/>
    <m/>
    <m/>
    <d v="2017-12-20T00:00:00"/>
    <s v="ON-GOING"/>
    <s v=""/>
    <s v=""/>
    <s v="Yes"/>
    <m/>
    <s v="$1M"/>
    <s v="$1M"/>
    <m/>
    <m/>
    <s v="-"/>
    <m/>
    <s v="-"/>
    <s v="-"/>
    <m/>
    <m/>
    <m/>
    <m/>
    <m/>
    <m/>
    <m/>
    <m/>
    <s v="$100K"/>
    <s v="G"/>
    <m/>
  </r>
  <r>
    <x v="14"/>
    <n v="0"/>
    <s v="Infrastructure"/>
    <s v="SOW"/>
    <x v="1"/>
    <m/>
    <s v="COE.APEX REMOTE SUPPORT SERVICES.SOW.2024.EXECUTED"/>
    <x v="0"/>
    <s v="Yes"/>
    <x v="1"/>
    <s v="VNA"/>
    <m/>
    <s v="No"/>
    <x v="2"/>
    <m/>
    <n v="3825"/>
    <n v="45900"/>
    <n v="30"/>
    <d v="2023-10-01T00:00:00"/>
    <n v="36"/>
    <d v="2026-10-01T00:00:00"/>
    <n v="1440"/>
    <s v="No"/>
    <m/>
    <s v="-"/>
    <s v="-"/>
    <m/>
    <m/>
    <s v="-"/>
    <m/>
    <s v="-"/>
    <s v="-"/>
    <m/>
    <m/>
    <m/>
    <m/>
    <m/>
    <m/>
    <m/>
    <m/>
    <s v="-"/>
    <s v="G"/>
    <s v="3-Year Term"/>
  </r>
  <r>
    <x v="14"/>
    <n v="0"/>
    <s v="Infrastructure"/>
    <s v="SOW"/>
    <x v="1"/>
    <m/>
    <s v="COE_DBA_Sep_2019"/>
    <x v="0"/>
    <m/>
    <x v="1"/>
    <s v="VNA"/>
    <m/>
    <s v="No"/>
    <x v="2"/>
    <m/>
    <m/>
    <m/>
    <m/>
    <d v="2019-09-01T00:00:00"/>
    <n v="24"/>
    <d v="2021-09-01T00:00:00"/>
    <n v="-1653"/>
    <s v="No"/>
    <m/>
    <s v="-"/>
    <s v="-"/>
    <m/>
    <m/>
    <s v="-"/>
    <m/>
    <s v="-"/>
    <s v="-"/>
    <m/>
    <m/>
    <m/>
    <m/>
    <m/>
    <m/>
    <m/>
    <m/>
    <s v="-"/>
    <s v="R"/>
    <m/>
  </r>
  <r>
    <x v="15"/>
    <n v="0"/>
    <m/>
    <s v="MSA"/>
    <x v="0"/>
    <m/>
    <s v="PO 87781 Viscosity MASTER SERVICES AGREEMENT"/>
    <x v="2"/>
    <m/>
    <x v="5"/>
    <m/>
    <m/>
    <m/>
    <x v="1"/>
    <m/>
    <m/>
    <m/>
    <m/>
    <m/>
    <m/>
    <d v="1899-12-30T00:00:00"/>
    <n v="-46093"/>
    <m/>
    <m/>
    <m/>
    <m/>
    <m/>
    <m/>
    <m/>
    <m/>
    <m/>
    <m/>
    <m/>
    <m/>
    <m/>
    <m/>
    <m/>
    <m/>
    <m/>
    <m/>
    <m/>
    <s v="R"/>
    <m/>
  </r>
  <r>
    <x v="4"/>
    <s v="Roger Santone"/>
    <s v="Development"/>
    <s v="SOW"/>
    <x v="0"/>
    <s v="Beatriz Aguirre"/>
    <s v="Records Management and Archive"/>
    <x v="0"/>
    <s v="Yes"/>
    <x v="0"/>
    <s v="VNA"/>
    <m/>
    <m/>
    <x v="1"/>
    <m/>
    <m/>
    <m/>
    <m/>
    <d v="2023-08-14T00:00:00"/>
    <s v="TBD"/>
    <d v="2024-12-31T00:00:00"/>
    <n v="-436"/>
    <m/>
    <m/>
    <m/>
    <m/>
    <m/>
    <m/>
    <m/>
    <m/>
    <m/>
    <m/>
    <m/>
    <m/>
    <m/>
    <m/>
    <m/>
    <m/>
    <m/>
    <m/>
    <m/>
    <s v="R"/>
    <m/>
  </r>
  <r>
    <x v="4"/>
    <s v="Roger Santone"/>
    <s v="Development"/>
    <s v="SOW"/>
    <x v="0"/>
    <s v="Beatriz Aguirre"/>
    <s v="VNA-AL-AP Invoice Automation Services-SOW-v2.docx"/>
    <x v="0"/>
    <s v="Yes"/>
    <x v="0"/>
    <s v="VNA"/>
    <m/>
    <m/>
    <x v="1"/>
    <m/>
    <m/>
    <m/>
    <m/>
    <d v="2024-08-07T00:00:00"/>
    <s v="TBD"/>
    <d v="2024-12-31T00:00:00"/>
    <n v="-436"/>
    <m/>
    <m/>
    <m/>
    <m/>
    <m/>
    <m/>
    <m/>
    <m/>
    <m/>
    <m/>
    <m/>
    <m/>
    <m/>
    <m/>
    <m/>
    <m/>
    <m/>
    <m/>
    <m/>
    <s v="R"/>
    <m/>
  </r>
  <r>
    <x v="4"/>
    <s v="Roger Santone"/>
    <m/>
    <s v="SOW"/>
    <x v="2"/>
    <s v="Sabika Rizvi"/>
    <s v="SOW.American_Leather.Web_Services.SOW.ORACLE_EBS.AUG2023_x000a_"/>
    <x v="0"/>
    <s v="Yes"/>
    <x v="0"/>
    <m/>
    <m/>
    <m/>
    <x v="1"/>
    <m/>
    <m/>
    <m/>
    <m/>
    <d v="2023-08-22T00:00:00"/>
    <m/>
    <d v="2023-08-22T00:00:00"/>
    <n v="-933"/>
    <m/>
    <m/>
    <m/>
    <m/>
    <m/>
    <m/>
    <m/>
    <m/>
    <m/>
    <m/>
    <m/>
    <m/>
    <m/>
    <m/>
    <m/>
    <m/>
    <m/>
    <m/>
    <m/>
    <s v="R"/>
    <m/>
  </r>
  <r>
    <x v="14"/>
    <n v="0"/>
    <m/>
    <s v="SOW"/>
    <x v="1"/>
    <m/>
    <s v="APEX Support"/>
    <x v="2"/>
    <m/>
    <x v="5"/>
    <m/>
    <m/>
    <m/>
    <x v="1"/>
    <m/>
    <m/>
    <m/>
    <m/>
    <m/>
    <m/>
    <d v="1899-12-30T00:00:00"/>
    <n v="-46093"/>
    <m/>
    <m/>
    <m/>
    <m/>
    <m/>
    <m/>
    <m/>
    <m/>
    <m/>
    <m/>
    <m/>
    <m/>
    <m/>
    <m/>
    <m/>
    <m/>
    <m/>
    <m/>
    <m/>
    <s v="R"/>
    <m/>
  </r>
  <r>
    <x v="14"/>
    <n v="0"/>
    <m/>
    <s v="SOW"/>
    <x v="1"/>
    <m/>
    <s v="Database Managed Services"/>
    <x v="2"/>
    <m/>
    <x v="5"/>
    <m/>
    <m/>
    <m/>
    <x v="1"/>
    <m/>
    <m/>
    <m/>
    <m/>
    <m/>
    <m/>
    <d v="1899-12-30T00:00:00"/>
    <n v="-46093"/>
    <m/>
    <m/>
    <m/>
    <m/>
    <m/>
    <m/>
    <m/>
    <m/>
    <m/>
    <m/>
    <m/>
    <m/>
    <m/>
    <m/>
    <m/>
    <m/>
    <m/>
    <m/>
    <m/>
    <s v="R"/>
    <m/>
  </r>
  <r>
    <x v="15"/>
    <n v="0"/>
    <s v="Infrastructure"/>
    <s v="SOW"/>
    <x v="2"/>
    <s v="Sophie Aaron"/>
    <s v="ODA Migration"/>
    <x v="1"/>
    <m/>
    <x v="0"/>
    <s v="VNA"/>
    <m/>
    <n v="100550"/>
    <x v="1"/>
    <m/>
    <m/>
    <m/>
    <m/>
    <d v="2023-07-03T00:00:00"/>
    <n v="7.5"/>
    <d v="2024-02-28T00:00:00"/>
    <n v="-743"/>
    <m/>
    <m/>
    <m/>
    <m/>
    <m/>
    <m/>
    <m/>
    <m/>
    <m/>
    <m/>
    <m/>
    <m/>
    <m/>
    <m/>
    <m/>
    <m/>
    <m/>
    <m/>
    <m/>
    <s v="R"/>
    <m/>
  </r>
  <r>
    <x v="16"/>
    <n v="0"/>
    <m/>
    <s v="MSA"/>
    <x v="0"/>
    <m/>
    <s v="Master Services Agreement"/>
    <x v="0"/>
    <m/>
    <x v="0"/>
    <s v="VNA"/>
    <m/>
    <m/>
    <x v="1"/>
    <m/>
    <m/>
    <m/>
    <m/>
    <d v="2021-03-03T00:00:00"/>
    <s v="ON-GOING"/>
    <s v=""/>
    <s v=""/>
    <s v="Yes"/>
    <m/>
    <s v="$2M"/>
    <s v="$1M"/>
    <s v="$1M"/>
    <m/>
    <s v="$5M"/>
    <s v="$1M"/>
    <m/>
    <m/>
    <s v="$5M"/>
    <s v="$1M"/>
    <s v="$1M"/>
    <m/>
    <m/>
    <m/>
    <m/>
    <m/>
    <s v="$1M"/>
    <s v="G"/>
    <m/>
  </r>
  <r>
    <x v="16"/>
    <n v="0"/>
    <m/>
    <s v="NDA"/>
    <x v="0"/>
    <m/>
    <s v="Non-Disclosure Agreement"/>
    <x v="0"/>
    <m/>
    <x v="0"/>
    <s v="VNA"/>
    <m/>
    <m/>
    <x v="0"/>
    <m/>
    <m/>
    <m/>
    <s v="-"/>
    <d v="2021-03-15T00:00:00"/>
    <s v="ON-GOING"/>
    <s v=""/>
    <s v=""/>
    <s v="No"/>
    <m/>
    <m/>
    <m/>
    <m/>
    <m/>
    <m/>
    <m/>
    <m/>
    <m/>
    <m/>
    <m/>
    <m/>
    <m/>
    <m/>
    <m/>
    <m/>
    <m/>
    <m/>
    <s v="G"/>
    <s v="A Recipient’s duty to protect Confidential Information _x000a_expires three (3) years from the date of any disclosure hereunder"/>
  </r>
  <r>
    <x v="17"/>
    <n v="0"/>
    <s v="Infrastructure"/>
    <s v="SOW"/>
    <x v="2"/>
    <m/>
    <s v="Dresser EBS Migration"/>
    <x v="0"/>
    <m/>
    <x v="2"/>
    <s v="VNA"/>
    <m/>
    <m/>
    <x v="2"/>
    <m/>
    <m/>
    <m/>
    <n v="1300"/>
    <d v="2021-11-12T00:00:00"/>
    <s v="ON-GOING"/>
    <s v=""/>
    <s v=""/>
    <s v="No"/>
    <m/>
    <s v="-"/>
    <s v="-"/>
    <m/>
    <m/>
    <s v="-"/>
    <m/>
    <s v="-"/>
    <s v="-"/>
    <m/>
    <m/>
    <m/>
    <m/>
    <m/>
    <m/>
    <m/>
    <m/>
    <s v="-"/>
    <s v="G"/>
    <s v="Consultant will migrate client’s Oracle eBusiness Suite application and database currently residing on target entity (on-premises) application server and database server Dresser’s"/>
  </r>
  <r>
    <x v="17"/>
    <n v="0"/>
    <s v="Infrastructure"/>
    <s v="SOW"/>
    <x v="3"/>
    <m/>
    <s v="Dresser CIM/JiT Assessment"/>
    <x v="0"/>
    <m/>
    <x v="2"/>
    <s v="VNA"/>
    <s v="Yes"/>
    <s v="PO223602M"/>
    <x v="4"/>
    <m/>
    <m/>
    <n v="55440"/>
    <n v="112"/>
    <d v="2022-10-16T00:00:00"/>
    <m/>
    <d v="2022-10-16T00:00:00"/>
    <n v="-1243"/>
    <m/>
    <m/>
    <m/>
    <m/>
    <m/>
    <m/>
    <m/>
    <m/>
    <m/>
    <m/>
    <m/>
    <m/>
    <m/>
    <m/>
    <m/>
    <m/>
    <m/>
    <m/>
    <m/>
    <s v="R"/>
    <m/>
  </r>
  <r>
    <x v="18"/>
    <n v="0"/>
    <m/>
    <m/>
    <x v="4"/>
    <m/>
    <m/>
    <x v="2"/>
    <m/>
    <x v="5"/>
    <m/>
    <m/>
    <m/>
    <x v="1"/>
    <m/>
    <m/>
    <m/>
    <m/>
    <m/>
    <m/>
    <d v="1899-12-30T00:00:00"/>
    <n v="-46093"/>
    <m/>
    <m/>
    <m/>
    <m/>
    <m/>
    <m/>
    <m/>
    <m/>
    <m/>
    <m/>
    <m/>
    <m/>
    <m/>
    <m/>
    <m/>
    <m/>
    <m/>
    <m/>
    <m/>
    <s v="R"/>
    <m/>
  </r>
  <r>
    <x v="19"/>
    <n v="0"/>
    <s v="Infrastructure"/>
    <s v="PO"/>
    <x v="1"/>
    <m/>
    <s v="BOS Managed Services"/>
    <x v="1"/>
    <m/>
    <x v="1"/>
    <s v="VNA"/>
    <s v="Yes"/>
    <m/>
    <x v="4"/>
    <m/>
    <m/>
    <m/>
    <n v="100"/>
    <d v="2020-01-01T00:00:00"/>
    <n v="24"/>
    <d v="2022-01-01T00:00:00"/>
    <n v="-1531"/>
    <s v="No"/>
    <m/>
    <s v="-"/>
    <s v="-"/>
    <m/>
    <m/>
    <s v="-"/>
    <m/>
    <s v="-"/>
    <s v="-"/>
    <m/>
    <m/>
    <m/>
    <m/>
    <m/>
    <m/>
    <m/>
    <m/>
    <s v="-"/>
    <s v="R"/>
    <s v="Scope and Tasks:_x000d__x000a_The scope and requirements are categorized into these phases:_x000d__x000a_1. Support Hours (100 hours per Quarter)_x000d__x000a_2. Overage and Out-of-Scope Support"/>
  </r>
  <r>
    <x v="19"/>
    <n v="0"/>
    <s v="Infrastructure"/>
    <s v="PO"/>
    <x v="5"/>
    <s v="Leisa Pitner"/>
    <s v="APEX Office Print - On-premises Gold"/>
    <x v="0"/>
    <m/>
    <x v="0"/>
    <s v="VNA"/>
    <s v="Yes"/>
    <m/>
    <x v="4"/>
    <m/>
    <m/>
    <m/>
    <m/>
    <d v="2023-05-30T00:00:00"/>
    <n v="12"/>
    <d v="2024-05-30T00:00:00"/>
    <n v="-651"/>
    <m/>
    <m/>
    <m/>
    <m/>
    <m/>
    <m/>
    <m/>
    <m/>
    <m/>
    <m/>
    <m/>
    <m/>
    <m/>
    <m/>
    <m/>
    <m/>
    <m/>
    <m/>
    <m/>
    <s v="R"/>
    <m/>
  </r>
  <r>
    <x v="19"/>
    <n v="0"/>
    <s v="Infrastructure"/>
    <s v="PO"/>
    <x v="2"/>
    <m/>
    <s v="License Assessment - 2022"/>
    <x v="1"/>
    <m/>
    <x v="2"/>
    <s v="VNA"/>
    <s v="Yes"/>
    <n v="862363"/>
    <x v="4"/>
    <m/>
    <m/>
    <m/>
    <n v="144"/>
    <d v="2022-03-29T00:00:00"/>
    <s v="ON-GOING"/>
    <s v=""/>
    <s v=""/>
    <s v="No"/>
    <m/>
    <s v="-"/>
    <s v="-"/>
    <m/>
    <m/>
    <s v="-"/>
    <m/>
    <s v="-"/>
    <s v="-"/>
    <m/>
    <m/>
    <m/>
    <m/>
    <m/>
    <m/>
    <m/>
    <m/>
    <s v="-"/>
    <s v="G"/>
    <s v="Perform a license review of their current footprint for their E-Business Suite, application, and, and database tier."/>
  </r>
  <r>
    <x v="19"/>
    <n v="0"/>
    <s v="Infrastructure"/>
    <s v="SOW"/>
    <x v="1"/>
    <m/>
    <s v="BOS Phase-3"/>
    <x v="1"/>
    <m/>
    <x v="1"/>
    <s v="VNA"/>
    <s v="Yes"/>
    <m/>
    <x v="2"/>
    <m/>
    <m/>
    <m/>
    <n v="660"/>
    <d v="2023-04-14T00:00:00"/>
    <m/>
    <d v="2023-04-14T00:00:00"/>
    <n v="-1063"/>
    <s v="Yes"/>
    <s v="Certificate Holder"/>
    <s v="-"/>
    <s v="-"/>
    <m/>
    <m/>
    <s v="-"/>
    <m/>
    <s v="-"/>
    <s v="-"/>
    <m/>
    <m/>
    <m/>
    <m/>
    <m/>
    <m/>
    <m/>
    <m/>
    <s v="-"/>
    <s v="R"/>
    <s v="Upon completion of this statement of work (SOW), Consultant and Client deliver a design, documentation, updated, and working application of the BOS budget management system."/>
  </r>
  <r>
    <x v="19"/>
    <n v="0"/>
    <s v="Infrastructure"/>
    <s v="SOW"/>
    <x v="2"/>
    <s v="Leisa Pitner"/>
    <s v="Apex Services &amp; Support"/>
    <x v="0"/>
    <m/>
    <x v="4"/>
    <s v="VNA"/>
    <s v="Yes"/>
    <m/>
    <x v="1"/>
    <m/>
    <m/>
    <m/>
    <s v="150 Hrs/Quarter"/>
    <s v="Unknown"/>
    <n v="12"/>
    <d v="2024-06-30T00:00:00"/>
    <n v="-620"/>
    <m/>
    <m/>
    <m/>
    <m/>
    <m/>
    <m/>
    <m/>
    <m/>
    <m/>
    <m/>
    <m/>
    <m/>
    <m/>
    <m/>
    <m/>
    <m/>
    <m/>
    <m/>
    <m/>
    <s v="R"/>
    <m/>
  </r>
  <r>
    <x v="19"/>
    <n v="0"/>
    <s v="Development"/>
    <s v="Renewal"/>
    <x v="1"/>
    <m/>
    <s v="2024 Renewal Letter KH-205563 Viscosity North America.pdf"/>
    <x v="0"/>
    <s v="Yes"/>
    <x v="0"/>
    <s v="VNA"/>
    <m/>
    <m/>
    <x v="1"/>
    <m/>
    <m/>
    <m/>
    <s v="NA"/>
    <d v="2023-08-07T00:00:00"/>
    <s v="Annual"/>
    <d v="2024-08-31T00:00:00"/>
    <n v="-558"/>
    <m/>
    <m/>
    <m/>
    <m/>
    <m/>
    <m/>
    <m/>
    <m/>
    <m/>
    <m/>
    <m/>
    <m/>
    <m/>
    <m/>
    <m/>
    <m/>
    <m/>
    <m/>
    <m/>
    <s v="R"/>
    <s v="the Dallas Independent School District issued an Award for the above-referenced Request for Proposal (RFP) and it will expire August 31, 2023. The Dallas Independent School District wishes, in accordance of the award and Viscosity North America RFP response, to extend the award through August 31, 2024. The extension includes the same terms and conditions of the original Award."/>
  </r>
  <r>
    <x v="20"/>
    <n v="0"/>
    <m/>
    <s v="Fifth Amendment Agreement"/>
    <x v="0"/>
    <m/>
    <s v="New Agreement PO# 50104298; Old Agreement #6163-01A-57112"/>
    <x v="0"/>
    <m/>
    <x v="0"/>
    <s v="VNA"/>
    <m/>
    <n v="50104298"/>
    <x v="1"/>
    <m/>
    <m/>
    <m/>
    <m/>
    <d v="2022-08-06T00:00:00"/>
    <s v="ON-GOING"/>
    <s v=""/>
    <s v=""/>
    <m/>
    <m/>
    <m/>
    <m/>
    <m/>
    <m/>
    <m/>
    <m/>
    <m/>
    <m/>
    <m/>
    <m/>
    <m/>
    <m/>
    <m/>
    <m/>
    <m/>
    <m/>
    <m/>
    <s v="G"/>
    <m/>
  </r>
  <r>
    <x v="19"/>
    <n v="0"/>
    <s v="Development"/>
    <s v="PO"/>
    <x v="2"/>
    <s v="Leisa Pitner"/>
    <s v="BOS - Fusion Integration"/>
    <x v="1"/>
    <s v="Yes"/>
    <x v="0"/>
    <s v="VNA"/>
    <m/>
    <n v="933851"/>
    <x v="1"/>
    <m/>
    <m/>
    <m/>
    <m/>
    <d v="2023-10-01T00:00:00"/>
    <n v="12"/>
    <d v="2024-09-30T00:00:00"/>
    <n v="-528"/>
    <m/>
    <m/>
    <m/>
    <m/>
    <m/>
    <m/>
    <m/>
    <m/>
    <m/>
    <m/>
    <m/>
    <m/>
    <m/>
    <m/>
    <m/>
    <m/>
    <m/>
    <m/>
    <m/>
    <s v="R"/>
    <m/>
  </r>
  <r>
    <x v="19"/>
    <n v="0"/>
    <s v="Development"/>
    <s v="PO"/>
    <x v="1"/>
    <s v="Leisa Pitner"/>
    <s v="BOS Managed Services"/>
    <x v="1"/>
    <s v="Yes"/>
    <x v="0"/>
    <s v="VNA"/>
    <m/>
    <s v="2023 PO-924830"/>
    <x v="1"/>
    <m/>
    <m/>
    <m/>
    <m/>
    <d v="2023-06-07T00:00:00"/>
    <n v="12"/>
    <d v="2024-06-07T00:00:00"/>
    <n v="-643"/>
    <m/>
    <m/>
    <m/>
    <m/>
    <m/>
    <m/>
    <m/>
    <m/>
    <m/>
    <m/>
    <m/>
    <m/>
    <m/>
    <m/>
    <m/>
    <m/>
    <m/>
    <m/>
    <m/>
    <s v="R"/>
    <m/>
  </r>
  <r>
    <x v="20"/>
    <n v="0"/>
    <m/>
    <s v="PO"/>
    <x v="1"/>
    <s v="Leisa Pitner"/>
    <s v="DEQP Mobile- Staff Aug- 50162702"/>
    <x v="0"/>
    <m/>
    <x v="0"/>
    <s v="VNA"/>
    <s v="Yes"/>
    <n v="50162702"/>
    <x v="2"/>
    <m/>
    <m/>
    <m/>
    <n v="1040"/>
    <m/>
    <m/>
    <d v="1899-12-30T00:00:00"/>
    <n v="-46093"/>
    <m/>
    <m/>
    <s v="-"/>
    <s v="-"/>
    <m/>
    <m/>
    <s v="-"/>
    <m/>
    <s v="-"/>
    <s v="-"/>
    <m/>
    <m/>
    <m/>
    <m/>
    <m/>
    <m/>
    <m/>
    <m/>
    <s v="-"/>
    <s v="R"/>
    <s v="Oracle, APEX  and PL/SQL Support- SIX MONTH TERM"/>
  </r>
  <r>
    <x v="20"/>
    <n v="0"/>
    <m/>
    <s v="PO"/>
    <x v="1"/>
    <s v="Leisa Pitner"/>
    <s v="DEUWI DOT-50162797"/>
    <x v="0"/>
    <m/>
    <x v="0"/>
    <s v="VNA"/>
    <s v="Yes"/>
    <n v="50162797"/>
    <x v="2"/>
    <m/>
    <m/>
    <m/>
    <n v="2080"/>
    <m/>
    <m/>
    <d v="1899-12-30T00:00:00"/>
    <n v="-46093"/>
    <m/>
    <m/>
    <s v="-"/>
    <s v="-"/>
    <m/>
    <m/>
    <s v="-"/>
    <m/>
    <s v="-"/>
    <s v="-"/>
    <m/>
    <m/>
    <m/>
    <m/>
    <m/>
    <m/>
    <m/>
    <m/>
    <s v="-"/>
    <s v="R"/>
    <s v="12 Month- Staff Augmentation"/>
  </r>
  <r>
    <x v="21"/>
    <n v="0"/>
    <s v="Development"/>
    <s v="SOW"/>
    <x v="2"/>
    <m/>
    <s v="Oracle XMLDB Review"/>
    <x v="0"/>
    <m/>
    <x v="1"/>
    <s v="VNA"/>
    <m/>
    <m/>
    <x v="4"/>
    <m/>
    <m/>
    <m/>
    <n v="60"/>
    <d v="2022-09-12T00:00:00"/>
    <n v="3"/>
    <d v="2022-12-31T00:00:00"/>
    <n v="-1167"/>
    <m/>
    <m/>
    <s v="-"/>
    <s v="-"/>
    <m/>
    <m/>
    <s v="-"/>
    <m/>
    <s v="-"/>
    <s v="-"/>
    <m/>
    <m/>
    <m/>
    <m/>
    <m/>
    <m/>
    <m/>
    <m/>
    <s v="-"/>
    <s v="R"/>
    <s v="Health Plan seeks to engage a supplier to provide practical experience using Oracle’s XML solution to review and provide recommendations on the solution proposed for the Consolidated Clinical Document"/>
  </r>
  <r>
    <x v="21"/>
    <n v="0"/>
    <s v="Development"/>
    <s v="SOW"/>
    <x v="2"/>
    <m/>
    <s v="APEX Forms"/>
    <x v="0"/>
    <m/>
    <x v="1"/>
    <s v="VNA"/>
    <m/>
    <m/>
    <x v="5"/>
    <m/>
    <m/>
    <m/>
    <n v="640"/>
    <d v="2022-01-17T00:00:00"/>
    <n v="11"/>
    <d v="2022-12-31T00:00:00"/>
    <n v="-1167"/>
    <m/>
    <m/>
    <s v="-"/>
    <s v="-"/>
    <m/>
    <m/>
    <s v="-"/>
    <m/>
    <s v="-"/>
    <s v="-"/>
    <m/>
    <m/>
    <m/>
    <m/>
    <m/>
    <m/>
    <m/>
    <m/>
    <s v="-"/>
    <s v="R"/>
    <s v="Creation of 25 APEX forms"/>
  </r>
  <r>
    <x v="22"/>
    <n v="0"/>
    <m/>
    <s v="MSA"/>
    <x v="6"/>
    <m/>
    <m/>
    <x v="1"/>
    <m/>
    <x v="4"/>
    <s v="VT"/>
    <m/>
    <m/>
    <x v="1"/>
    <m/>
    <m/>
    <m/>
    <m/>
    <m/>
    <m/>
    <d v="1899-12-30T00:00:00"/>
    <n v="-46093"/>
    <m/>
    <m/>
    <m/>
    <m/>
    <m/>
    <m/>
    <m/>
    <m/>
    <m/>
    <m/>
    <m/>
    <m/>
    <m/>
    <m/>
    <m/>
    <m/>
    <m/>
    <m/>
    <m/>
    <s v="R"/>
    <m/>
  </r>
  <r>
    <x v="23"/>
    <n v="0"/>
    <m/>
    <s v="MSA"/>
    <x v="0"/>
    <m/>
    <s v="Master Services Agreement"/>
    <x v="0"/>
    <m/>
    <x v="0"/>
    <s v="VT"/>
    <m/>
    <m/>
    <x v="0"/>
    <m/>
    <m/>
    <m/>
    <m/>
    <d v="2021-02-05T00:00:00"/>
    <s v="ON-GOING"/>
    <s v=""/>
    <s v=""/>
    <s v="Yes"/>
    <m/>
    <m/>
    <s v="$1M"/>
    <m/>
    <m/>
    <m/>
    <m/>
    <m/>
    <m/>
    <m/>
    <m/>
    <m/>
    <m/>
    <m/>
    <m/>
    <m/>
    <m/>
    <s v="$100K"/>
    <s v="G"/>
    <m/>
  </r>
  <r>
    <x v="23"/>
    <n v="0"/>
    <s v="Infrastructure"/>
    <s v="SOW"/>
    <x v="1"/>
    <s v="Sophie Aaron"/>
    <s v="Florida Realtors Monitoring Support Services"/>
    <x v="0"/>
    <m/>
    <x v="0"/>
    <s v="VT"/>
    <m/>
    <m/>
    <x v="2"/>
    <m/>
    <m/>
    <n v="479200"/>
    <s v="$2,000/month"/>
    <d v="2022-08-02T00:00:00"/>
    <s v="ON-GOING"/>
    <s v=""/>
    <s v=""/>
    <s v="No"/>
    <m/>
    <s v="-"/>
    <s v="-"/>
    <m/>
    <m/>
    <s v="-"/>
    <m/>
    <s v="-"/>
    <s v="-"/>
    <m/>
    <m/>
    <m/>
    <m/>
    <m/>
    <m/>
    <m/>
    <m/>
    <s v="-"/>
    <s v="G"/>
    <m/>
  </r>
  <r>
    <x v="24"/>
    <n v="0"/>
    <m/>
    <s v="NDA"/>
    <x v="0"/>
    <m/>
    <s v="Non-Disclosure Agreement"/>
    <x v="0"/>
    <s v="No"/>
    <x v="0"/>
    <s v="VNA"/>
    <m/>
    <m/>
    <x v="1"/>
    <m/>
    <m/>
    <m/>
    <m/>
    <d v="2023-05-15T00:00:00"/>
    <n v="24"/>
    <d v="2025-05-15T00:00:00"/>
    <n v="-301"/>
    <m/>
    <m/>
    <m/>
    <m/>
    <m/>
    <m/>
    <m/>
    <m/>
    <m/>
    <m/>
    <m/>
    <m/>
    <m/>
    <m/>
    <m/>
    <m/>
    <m/>
    <m/>
    <m/>
    <s v="R"/>
    <m/>
  </r>
  <r>
    <x v="25"/>
    <n v="0"/>
    <m/>
    <s v="MSA"/>
    <x v="0"/>
    <m/>
    <s v="Master Services Agreement"/>
    <x v="0"/>
    <s v="Yes"/>
    <x v="0"/>
    <s v="VNA"/>
    <m/>
    <m/>
    <x v="1"/>
    <m/>
    <m/>
    <m/>
    <m/>
    <d v="2018-05-23T00:00:00"/>
    <s v="ON-GOING"/>
    <s v=""/>
    <s v=""/>
    <m/>
    <m/>
    <m/>
    <m/>
    <m/>
    <m/>
    <m/>
    <m/>
    <m/>
    <m/>
    <m/>
    <m/>
    <m/>
    <m/>
    <m/>
    <m/>
    <m/>
    <m/>
    <m/>
    <s v="G"/>
    <m/>
  </r>
  <r>
    <x v="25"/>
    <n v="0"/>
    <s v="Infrastructure"/>
    <s v="SOW"/>
    <x v="1"/>
    <m/>
    <s v="19c Upgrade"/>
    <x v="0"/>
    <m/>
    <x v="2"/>
    <s v="VT"/>
    <m/>
    <m/>
    <x v="2"/>
    <m/>
    <m/>
    <m/>
    <m/>
    <d v="2021-04-08T00:00:00"/>
    <s v="ON-GOING"/>
    <s v=""/>
    <s v=""/>
    <m/>
    <m/>
    <s v="-"/>
    <s v="-"/>
    <m/>
    <m/>
    <s v="-"/>
    <m/>
    <s v="-"/>
    <s v="-"/>
    <m/>
    <m/>
    <m/>
    <m/>
    <m/>
    <m/>
    <m/>
    <m/>
    <s v="-"/>
    <s v="G"/>
    <s v="Upon completion of each environment, after load test successfully completes their run (if _x000a_applicable), Viscosity will submit an invoice to FNF for payment. Total project cost will not exceed _x000a_$479,200"/>
  </r>
  <r>
    <x v="25"/>
    <n v="0"/>
    <s v="Infrastructure"/>
    <s v="SOW"/>
    <x v="1"/>
    <s v="Sophie Aaron"/>
    <s v="Managed Services"/>
    <x v="1"/>
    <m/>
    <x v="0"/>
    <s v="VNA"/>
    <m/>
    <m/>
    <x v="2"/>
    <m/>
    <m/>
    <m/>
    <m/>
    <m/>
    <m/>
    <d v="1899-12-30T00:00:00"/>
    <n v="-46093"/>
    <m/>
    <m/>
    <s v="-"/>
    <s v="-"/>
    <m/>
    <m/>
    <s v="-"/>
    <m/>
    <s v="-"/>
    <s v="-"/>
    <m/>
    <m/>
    <m/>
    <m/>
    <m/>
    <m/>
    <m/>
    <m/>
    <s v="-"/>
    <s v="R"/>
    <s v="Flat fee of $78K monthly"/>
  </r>
  <r>
    <x v="26"/>
    <n v="0"/>
    <s v="Legal Agreement"/>
    <s v="MBE_WBE Statement"/>
    <x v="0"/>
    <s v="Sophie Aaron"/>
    <s v="VT.MSA.Follett Content Solutions.27JAN2024 Follett Content Edits.FINAL.docx"/>
    <x v="0"/>
    <s v="Yes"/>
    <x v="0"/>
    <s v="VT"/>
    <m/>
    <m/>
    <x v="1"/>
    <m/>
    <m/>
    <m/>
    <m/>
    <d v="2024-01-24T00:00:00"/>
    <s v="ON-GOING"/>
    <s v=""/>
    <s v=""/>
    <m/>
    <m/>
    <m/>
    <s v="$1M"/>
    <m/>
    <m/>
    <m/>
    <m/>
    <m/>
    <m/>
    <m/>
    <m/>
    <m/>
    <m/>
    <m/>
    <m/>
    <m/>
    <m/>
    <s v="$100K"/>
    <s v="G"/>
    <m/>
  </r>
  <r>
    <x v="26"/>
    <n v="0"/>
    <s v="Legal Agreement"/>
    <s v="NDA"/>
    <x v="0"/>
    <s v="Sophie Aaron"/>
    <s v="VT.MNDA.Follett Content Solutions.24JAN2024 (002) Follett Comments FINAL.doc"/>
    <x v="0"/>
    <s v="Yes"/>
    <x v="0"/>
    <s v="VT"/>
    <m/>
    <m/>
    <x v="1"/>
    <m/>
    <m/>
    <m/>
    <m/>
    <d v="2024-02-02T00:00:00"/>
    <n v="24"/>
    <d v="2026-02-02T00:00:00"/>
    <n v="-38"/>
    <m/>
    <m/>
    <m/>
    <m/>
    <m/>
    <m/>
    <m/>
    <m/>
    <m/>
    <m/>
    <m/>
    <m/>
    <m/>
    <m/>
    <m/>
    <m/>
    <m/>
    <m/>
    <m/>
    <s v="R"/>
    <m/>
  </r>
  <r>
    <x v="26"/>
    <n v="0"/>
    <s v="Infrastructure"/>
    <s v="SOW"/>
    <x v="1"/>
    <s v="Sophie Aaron"/>
    <m/>
    <x v="2"/>
    <m/>
    <x v="5"/>
    <m/>
    <m/>
    <m/>
    <x v="1"/>
    <m/>
    <m/>
    <m/>
    <m/>
    <m/>
    <m/>
    <d v="1899-12-30T00:00:00"/>
    <n v="-46093"/>
    <m/>
    <m/>
    <m/>
    <m/>
    <m/>
    <m/>
    <m/>
    <m/>
    <m/>
    <m/>
    <m/>
    <m/>
    <m/>
    <m/>
    <m/>
    <m/>
    <m/>
    <m/>
    <m/>
    <s v="R"/>
    <m/>
  </r>
  <r>
    <x v="27"/>
    <n v="0"/>
    <s v="Legal Agreement"/>
    <s v="MSA"/>
    <x v="0"/>
    <s v="Sophie Aaron"/>
    <s v="Master Services Agreement"/>
    <x v="0"/>
    <m/>
    <x v="0"/>
    <s v="VT"/>
    <m/>
    <m/>
    <x v="1"/>
    <m/>
    <m/>
    <m/>
    <m/>
    <d v="2022-06-20T00:00:00"/>
    <s v="ON-GOING"/>
    <s v=""/>
    <s v=""/>
    <s v="Yes"/>
    <m/>
    <m/>
    <s v="$1M"/>
    <m/>
    <m/>
    <m/>
    <m/>
    <m/>
    <m/>
    <m/>
    <m/>
    <m/>
    <m/>
    <m/>
    <m/>
    <m/>
    <m/>
    <s v="$100K"/>
    <s v="G"/>
    <m/>
  </r>
  <r>
    <x v="27"/>
    <n v="0"/>
    <s v="Legal Agreement"/>
    <s v="NDA"/>
    <x v="0"/>
    <s v="Sophie Aaron"/>
    <s v="Non-Disclosure Agreement"/>
    <x v="0"/>
    <m/>
    <x v="0"/>
    <s v="VT"/>
    <m/>
    <m/>
    <x v="1"/>
    <m/>
    <m/>
    <m/>
    <m/>
    <d v="2022-07-07T00:00:00"/>
    <n v="24"/>
    <d v="2024-07-07T00:00:00"/>
    <n v="-613"/>
    <m/>
    <m/>
    <m/>
    <m/>
    <m/>
    <m/>
    <m/>
    <m/>
    <m/>
    <m/>
    <m/>
    <m/>
    <m/>
    <m/>
    <m/>
    <m/>
    <m/>
    <m/>
    <m/>
    <s v="R"/>
    <m/>
  </r>
  <r>
    <x v="27"/>
    <n v="0"/>
    <s v="Infrastructure"/>
    <s v="SOW"/>
    <x v="1"/>
    <s v="Sophie Aaron"/>
    <s v="Follett Managed Services Database Support SOW 02MAY.V4 Follett edits v1 (5.18.2022) Changes Accepted (002)"/>
    <x v="0"/>
    <s v="Yes"/>
    <x v="0"/>
    <s v="VT"/>
    <m/>
    <m/>
    <x v="1"/>
    <m/>
    <m/>
    <m/>
    <m/>
    <d v="2023-06-01T00:00:00"/>
    <n v="12"/>
    <d v="2024-06-01T00:00:00"/>
    <n v="-649"/>
    <m/>
    <m/>
    <m/>
    <m/>
    <m/>
    <m/>
    <m/>
    <m/>
    <m/>
    <m/>
    <m/>
    <m/>
    <m/>
    <m/>
    <m/>
    <m/>
    <m/>
    <m/>
    <m/>
    <s v="R"/>
    <m/>
  </r>
  <r>
    <x v="27"/>
    <n v="0"/>
    <s v="Infrastructure"/>
    <s v="SOW"/>
    <x v="7"/>
    <s v="Sophie Aaron"/>
    <s v="Follett School Solutions LLC MS Change Order Jan 2024 FINAL.docx"/>
    <x v="0"/>
    <s v="Yes"/>
    <x v="0"/>
    <s v="VT"/>
    <m/>
    <m/>
    <x v="2"/>
    <m/>
    <m/>
    <m/>
    <s v="32 Hrs/Month"/>
    <d v="2023-06-01T00:00:00"/>
    <n v="12"/>
    <d v="2024-06-01T00:00:00"/>
    <n v="-649"/>
    <m/>
    <m/>
    <m/>
    <m/>
    <m/>
    <m/>
    <m/>
    <m/>
    <m/>
    <m/>
    <m/>
    <m/>
    <m/>
    <m/>
    <m/>
    <m/>
    <m/>
    <m/>
    <m/>
    <s v="R"/>
    <s v="Thereafter, this SOW shall automatically renew for successive one (1) year terms (each a “Renewal Term”) upon Client’s written approval. Fees upon renewal shall not increase by more than 5%."/>
  </r>
  <r>
    <x v="28"/>
    <n v="0"/>
    <m/>
    <s v="MSA"/>
    <x v="0"/>
    <m/>
    <s v="Master Services Agreement"/>
    <x v="0"/>
    <s v="Yes"/>
    <x v="0"/>
    <s v="VNA"/>
    <m/>
    <m/>
    <x v="1"/>
    <m/>
    <m/>
    <m/>
    <m/>
    <d v="2023-03-31T00:00:00"/>
    <s v="ON-GOING"/>
    <s v=""/>
    <s v=""/>
    <m/>
    <m/>
    <m/>
    <m/>
    <m/>
    <m/>
    <m/>
    <m/>
    <m/>
    <m/>
    <m/>
    <m/>
    <m/>
    <m/>
    <m/>
    <m/>
    <m/>
    <m/>
    <m/>
    <s v="G"/>
    <m/>
  </r>
  <r>
    <x v="28"/>
    <n v="0"/>
    <s v="Infrastructure"/>
    <s v="SOW"/>
    <x v="2"/>
    <m/>
    <s v="ODA Implementation"/>
    <x v="0"/>
    <m/>
    <x v="0"/>
    <s v="VNA"/>
    <m/>
    <m/>
    <x v="2"/>
    <s v="Net 30"/>
    <m/>
    <n v="94775"/>
    <n v="477"/>
    <d v="2023-04-15T00:00:00"/>
    <s v="Block of Hours"/>
    <s v=""/>
    <s v=""/>
    <m/>
    <m/>
    <m/>
    <m/>
    <m/>
    <m/>
    <m/>
    <m/>
    <m/>
    <m/>
    <m/>
    <m/>
    <m/>
    <m/>
    <m/>
    <m/>
    <m/>
    <m/>
    <m/>
    <s v="G"/>
    <m/>
  </r>
  <r>
    <x v="29"/>
    <n v="0"/>
    <m/>
    <s v="MSA"/>
    <x v="0"/>
    <m/>
    <s v="Consulting Agreement"/>
    <x v="0"/>
    <m/>
    <x v="0"/>
    <s v="VNA"/>
    <s v="No"/>
    <s v="-"/>
    <x v="6"/>
    <m/>
    <s v="-"/>
    <s v="-"/>
    <s v="-"/>
    <d v="2018-06-18T00:00:00"/>
    <s v="ON-GOING"/>
    <s v=""/>
    <s v=""/>
    <m/>
    <m/>
    <m/>
    <m/>
    <m/>
    <m/>
    <m/>
    <m/>
    <m/>
    <m/>
    <m/>
    <m/>
    <m/>
    <m/>
    <m/>
    <m/>
    <m/>
    <m/>
    <m/>
    <s v="G"/>
    <s v="Notwithstanding the foregoing, if this Agreement terminates or is terminated while one or more Project Addenda (as defined in paragraph 2 below) remain outstanding, the terms of this Agreement shall continue to govern each outstanding Project Addendum, and the entire Agreement shall be deemed finally terminated only upon termination of all outstanding Project Addenda, or completion of the work thereunder."/>
  </r>
  <r>
    <x v="29"/>
    <n v="0"/>
    <s v="Infrastructure"/>
    <s v="SOW"/>
    <x v="2"/>
    <m/>
    <s v="Harris County"/>
    <x v="1"/>
    <m/>
    <x v="0"/>
    <s v="VNA"/>
    <s v="No"/>
    <s v="-"/>
    <x v="6"/>
    <m/>
    <s v="-"/>
    <s v="-"/>
    <s v="-"/>
    <d v="2022-04-11T00:00:00"/>
    <n v="6"/>
    <d v="2022-10-11T00:00:00"/>
    <n v="-1248"/>
    <m/>
    <m/>
    <s v="-"/>
    <s v="-"/>
    <m/>
    <m/>
    <s v="-"/>
    <m/>
    <s v="-"/>
    <s v="-"/>
    <m/>
    <m/>
    <m/>
    <m/>
    <m/>
    <m/>
    <m/>
    <m/>
    <s v="-"/>
    <s v="R"/>
    <s v="Golden Gate"/>
  </r>
  <r>
    <x v="30"/>
    <n v="0"/>
    <m/>
    <s v="CSA"/>
    <x v="0"/>
    <m/>
    <s v="Signed"/>
    <x v="0"/>
    <m/>
    <x v="5"/>
    <s v="VNA"/>
    <m/>
    <m/>
    <x v="0"/>
    <m/>
    <m/>
    <m/>
    <m/>
    <d v="2021-04-15T00:00:00"/>
    <n v="12"/>
    <d v="2022-04-15T00:00:00"/>
    <n v="-1427"/>
    <m/>
    <m/>
    <m/>
    <m/>
    <m/>
    <m/>
    <m/>
    <m/>
    <m/>
    <m/>
    <m/>
    <m/>
    <m/>
    <m/>
    <m/>
    <m/>
    <m/>
    <m/>
    <m/>
    <s v="R"/>
    <m/>
  </r>
  <r>
    <x v="30"/>
    <n v="0"/>
    <s v="Infrastructure"/>
    <s v="SOW"/>
    <x v="2"/>
    <m/>
    <s v="Migration And Upgrade"/>
    <x v="1"/>
    <m/>
    <x v="4"/>
    <s v="VNA"/>
    <m/>
    <m/>
    <x v="6"/>
    <m/>
    <m/>
    <m/>
    <n v="500"/>
    <d v="2021-03-01T00:00:00"/>
    <s v="Block of Hours"/>
    <s v=""/>
    <s v=""/>
    <s v="No"/>
    <m/>
    <m/>
    <m/>
    <m/>
    <m/>
    <m/>
    <m/>
    <m/>
    <m/>
    <m/>
    <m/>
    <m/>
    <m/>
    <m/>
    <m/>
    <m/>
    <m/>
    <m/>
    <s v="G"/>
    <m/>
  </r>
  <r>
    <x v="31"/>
    <n v="0"/>
    <m/>
    <s v="MSA"/>
    <x v="0"/>
    <m/>
    <s v="Master Services Agreement"/>
    <x v="0"/>
    <s v="No"/>
    <x v="0"/>
    <s v="VNA"/>
    <m/>
    <m/>
    <x v="0"/>
    <s v="Net 30"/>
    <m/>
    <m/>
    <m/>
    <d v="2018-07-20T00:00:00"/>
    <s v="ON-GOING"/>
    <s v=""/>
    <s v=""/>
    <m/>
    <m/>
    <m/>
    <m/>
    <m/>
    <m/>
    <m/>
    <m/>
    <m/>
    <m/>
    <m/>
    <m/>
    <m/>
    <m/>
    <m/>
    <m/>
    <m/>
    <m/>
    <m/>
    <s v="G"/>
    <m/>
  </r>
  <r>
    <x v="31"/>
    <n v="0"/>
    <s v="Infrastructure"/>
    <s v="SOW"/>
    <x v="1"/>
    <s v="Sophie Aaron"/>
    <s v="IdenTrust DB Patching 2023"/>
    <x v="0"/>
    <s v="Yes"/>
    <x v="0"/>
    <s v="VT"/>
    <s v="Yes"/>
    <n v="81151"/>
    <x v="2"/>
    <m/>
    <m/>
    <m/>
    <n v="124"/>
    <d v="2023-08-02T00:00:00"/>
    <s v="ON-GOING"/>
    <s v=""/>
    <s v=""/>
    <m/>
    <m/>
    <s v="-"/>
    <s v="-"/>
    <m/>
    <m/>
    <s v="-"/>
    <m/>
    <s v="-"/>
    <s v="-"/>
    <m/>
    <m/>
    <m/>
    <m/>
    <m/>
    <m/>
    <m/>
    <m/>
    <s v="-"/>
    <s v="G"/>
    <s v="4 hours per month are dedicated to Retainer Services meant to review the database environment on a regular basis. Expected in the fall 2023 - revisit no later than May 15"/>
  </r>
  <r>
    <x v="31"/>
    <n v="0"/>
    <s v="Infrastructure"/>
    <s v="SOW"/>
    <x v="1"/>
    <m/>
    <s v="IdenTrust Retainer Services - Schedule A VT - Signed"/>
    <x v="0"/>
    <m/>
    <x v="1"/>
    <m/>
    <m/>
    <m/>
    <x v="1"/>
    <m/>
    <m/>
    <m/>
    <m/>
    <d v="2020-08-10T00:00:00"/>
    <n v="12"/>
    <d v="2021-08-10T00:00:00"/>
    <n v="-1675"/>
    <m/>
    <m/>
    <m/>
    <m/>
    <m/>
    <m/>
    <m/>
    <m/>
    <m/>
    <m/>
    <m/>
    <m/>
    <m/>
    <m/>
    <m/>
    <m/>
    <m/>
    <m/>
    <m/>
    <s v="R"/>
    <m/>
  </r>
  <r>
    <x v="31"/>
    <n v="0"/>
    <s v="Infrastructure"/>
    <s v="PO"/>
    <x v="8"/>
    <m/>
    <s v="IDENTRUST Performance Tuning 2023 PO-20069"/>
    <x v="2"/>
    <m/>
    <x v="0"/>
    <s v="VT"/>
    <m/>
    <m/>
    <x v="2"/>
    <s v="Net 30"/>
    <m/>
    <n v="19600"/>
    <m/>
    <d v="2023-05-16T00:00:00"/>
    <s v="Block of Hours"/>
    <s v=""/>
    <s v=""/>
    <m/>
    <m/>
    <m/>
    <m/>
    <m/>
    <m/>
    <m/>
    <m/>
    <m/>
    <m/>
    <m/>
    <m/>
    <m/>
    <m/>
    <m/>
    <m/>
    <m/>
    <m/>
    <m/>
    <s v="G"/>
    <m/>
  </r>
  <r>
    <x v="31"/>
    <n v="0"/>
    <s v="Infrastructure"/>
    <s v="SOW"/>
    <x v="1"/>
    <m/>
    <s v="Identrust Db Patching 2022"/>
    <x v="0"/>
    <m/>
    <x v="2"/>
    <s v="VT"/>
    <s v="Yes"/>
    <m/>
    <x v="2"/>
    <s v="Net 30"/>
    <m/>
    <n v="21700"/>
    <n v="100"/>
    <d v="2022-09-06T00:00:00"/>
    <s v="Block of Hours"/>
    <s v=""/>
    <s v=""/>
    <s v="No"/>
    <m/>
    <m/>
    <m/>
    <m/>
    <m/>
    <m/>
    <m/>
    <m/>
    <m/>
    <m/>
    <m/>
    <m/>
    <m/>
    <m/>
    <m/>
    <m/>
    <m/>
    <m/>
    <s v="G"/>
    <m/>
  </r>
  <r>
    <x v="32"/>
    <n v="0"/>
    <m/>
    <s v="NDA"/>
    <x v="0"/>
    <m/>
    <s v="Non-Disclosure Agreement"/>
    <x v="0"/>
    <m/>
    <x v="5"/>
    <m/>
    <m/>
    <m/>
    <x v="1"/>
    <m/>
    <m/>
    <m/>
    <m/>
    <d v="2021-04-13T00:00:00"/>
    <n v="36"/>
    <d v="2024-04-13T00:00:00"/>
    <n v="-698"/>
    <m/>
    <m/>
    <m/>
    <m/>
    <m/>
    <m/>
    <m/>
    <m/>
    <m/>
    <m/>
    <m/>
    <m/>
    <m/>
    <m/>
    <m/>
    <m/>
    <m/>
    <m/>
    <m/>
    <s v="R"/>
    <m/>
  </r>
  <r>
    <x v="32"/>
    <n v="0"/>
    <m/>
    <s v="MSA"/>
    <x v="0"/>
    <m/>
    <s v="Master Services Agreement"/>
    <x v="0"/>
    <m/>
    <x v="0"/>
    <s v="VT"/>
    <m/>
    <m/>
    <x v="1"/>
    <m/>
    <m/>
    <m/>
    <m/>
    <d v="2021-05-10T00:00:00"/>
    <n v="12"/>
    <d v="2022-05-10T00:00:00"/>
    <n v="-1402"/>
    <m/>
    <m/>
    <m/>
    <m/>
    <m/>
    <m/>
    <m/>
    <m/>
    <m/>
    <m/>
    <m/>
    <m/>
    <m/>
    <m/>
    <m/>
    <m/>
    <m/>
    <m/>
    <m/>
    <s v="R"/>
    <s v="Term. The Term of the Agreement is hereby extended for one (1) year beginning on May 10, 2021 and concluding on May 9, 2022 (“Term”). Thereafter, the Agreement may be extended by written agreement of the parties."/>
  </r>
  <r>
    <x v="33"/>
    <n v="0"/>
    <s v="Infrastructure"/>
    <s v="SOW"/>
    <x v="2"/>
    <m/>
    <s v="Incorta - Viscosity Project Work Order-Just Born.V2.docx"/>
    <x v="0"/>
    <s v="Yes"/>
    <x v="0"/>
    <s v="VNA"/>
    <m/>
    <m/>
    <x v="1"/>
    <m/>
    <m/>
    <m/>
    <n v="356"/>
    <d v="2023-07-26T00:00:00"/>
    <s v="TBD"/>
    <s v="None"/>
    <s v=""/>
    <m/>
    <m/>
    <m/>
    <m/>
    <m/>
    <m/>
    <m/>
    <m/>
    <m/>
    <m/>
    <m/>
    <m/>
    <m/>
    <m/>
    <m/>
    <m/>
    <m/>
    <m/>
    <m/>
    <s v="G"/>
    <m/>
  </r>
  <r>
    <x v="33"/>
    <n v="0"/>
    <s v="Infrastructure"/>
    <s v="MCSA"/>
    <x v="0"/>
    <m/>
    <s v="NCORTA.VNA.MCSA.2023.docx"/>
    <x v="0"/>
    <s v="Yes"/>
    <x v="0"/>
    <s v="VNA"/>
    <m/>
    <m/>
    <x v="1"/>
    <m/>
    <m/>
    <m/>
    <m/>
    <d v="2023-07-06T00:00:00"/>
    <m/>
    <d v="2023-07-06T00:00:00"/>
    <n v="-980"/>
    <m/>
    <m/>
    <m/>
    <m/>
    <m/>
    <m/>
    <m/>
    <m/>
    <m/>
    <m/>
    <m/>
    <m/>
    <m/>
    <m/>
    <m/>
    <m/>
    <m/>
    <m/>
    <m/>
    <s v="R"/>
    <m/>
  </r>
  <r>
    <x v="34"/>
    <n v="0"/>
    <m/>
    <s v="MSA"/>
    <x v="0"/>
    <m/>
    <s v="Master Services Agreement"/>
    <x v="0"/>
    <s v="Yes"/>
    <x v="0"/>
    <s v="VNA"/>
    <m/>
    <m/>
    <x v="1"/>
    <s v="Net 30"/>
    <m/>
    <m/>
    <m/>
    <d v="2021-12-01T00:00:00"/>
    <s v="ON-GOING"/>
    <s v=""/>
    <s v=""/>
    <m/>
    <m/>
    <m/>
    <m/>
    <m/>
    <m/>
    <m/>
    <m/>
    <m/>
    <m/>
    <m/>
    <m/>
    <m/>
    <m/>
    <m/>
    <m/>
    <m/>
    <m/>
    <m/>
    <s v="G"/>
    <m/>
  </r>
  <r>
    <x v="35"/>
    <n v="0"/>
    <m/>
    <s v="NDA"/>
    <x v="0"/>
    <m/>
    <s v="Non-Disclosure Agreement"/>
    <x v="1"/>
    <m/>
    <x v="5"/>
    <s v="VNA"/>
    <m/>
    <m/>
    <x v="1"/>
    <m/>
    <m/>
    <m/>
    <m/>
    <m/>
    <m/>
    <d v="1899-12-30T00:00:00"/>
    <n v="-46093"/>
    <m/>
    <m/>
    <m/>
    <m/>
    <m/>
    <m/>
    <m/>
    <m/>
    <m/>
    <m/>
    <m/>
    <m/>
    <m/>
    <m/>
    <m/>
    <m/>
    <m/>
    <m/>
    <m/>
    <s v="R"/>
    <m/>
  </r>
  <r>
    <x v="35"/>
    <n v="0"/>
    <s v="Infrastructure"/>
    <s v="SOW"/>
    <x v="2"/>
    <m/>
    <s v="Ino - Goldengate Data Replication"/>
    <x v="0"/>
    <m/>
    <x v="2"/>
    <s v="VT"/>
    <m/>
    <m/>
    <x v="1"/>
    <m/>
    <m/>
    <m/>
    <n v="112"/>
    <d v="2022-07-21T00:00:00"/>
    <s v="ON-GOING"/>
    <s v=""/>
    <s v=""/>
    <m/>
    <m/>
    <m/>
    <m/>
    <m/>
    <m/>
    <m/>
    <m/>
    <m/>
    <m/>
    <m/>
    <m/>
    <m/>
    <m/>
    <m/>
    <m/>
    <m/>
    <m/>
    <m/>
    <s v="G"/>
    <m/>
  </r>
  <r>
    <x v="36"/>
    <n v="0"/>
    <m/>
    <m/>
    <x v="6"/>
    <m/>
    <s v="Oracle BigCommerce Integration"/>
    <x v="1"/>
    <m/>
    <x v="4"/>
    <m/>
    <m/>
    <m/>
    <x v="2"/>
    <m/>
    <m/>
    <m/>
    <n v="155"/>
    <m/>
    <m/>
    <d v="1899-12-30T00:00:00"/>
    <n v="-46093"/>
    <m/>
    <m/>
    <s v="-"/>
    <s v="-"/>
    <m/>
    <m/>
    <s v="-"/>
    <m/>
    <s v="-"/>
    <s v="-"/>
    <m/>
    <m/>
    <m/>
    <m/>
    <m/>
    <m/>
    <m/>
    <m/>
    <s v="-"/>
    <s v="R"/>
    <m/>
  </r>
  <r>
    <x v="37"/>
    <n v="0"/>
    <m/>
    <s v="NDA"/>
    <x v="0"/>
    <m/>
    <s v="Non-Disclosure Agreement"/>
    <x v="0"/>
    <m/>
    <x v="5"/>
    <s v="VNA"/>
    <m/>
    <m/>
    <x v="1"/>
    <m/>
    <m/>
    <m/>
    <m/>
    <d v="2017-11-02T00:00:00"/>
    <s v="ON-GOING"/>
    <s v=""/>
    <s v=""/>
    <m/>
    <m/>
    <m/>
    <m/>
    <m/>
    <m/>
    <m/>
    <m/>
    <m/>
    <m/>
    <m/>
    <m/>
    <m/>
    <m/>
    <m/>
    <m/>
    <m/>
    <m/>
    <m/>
    <s v="G"/>
    <s v="Agreement prevails unless there is written agreement of both parties or 30 days prior written notice provided no outstanding business transactions"/>
  </r>
  <r>
    <x v="37"/>
    <n v="0"/>
    <m/>
    <s v="MSA"/>
    <x v="0"/>
    <m/>
    <s v="Master Services Agreement"/>
    <x v="0"/>
    <m/>
    <x v="2"/>
    <s v="VNA"/>
    <m/>
    <m/>
    <x v="1"/>
    <m/>
    <m/>
    <m/>
    <m/>
    <d v="2017-11-27T00:00:00"/>
    <s v="ON-GOING"/>
    <s v=""/>
    <s v=""/>
    <m/>
    <m/>
    <m/>
    <m/>
    <m/>
    <m/>
    <m/>
    <m/>
    <m/>
    <m/>
    <m/>
    <m/>
    <m/>
    <m/>
    <m/>
    <m/>
    <m/>
    <m/>
    <m/>
    <s v="G"/>
    <s v="Article 10 shall survive any termination or cancellation of this Agreement."/>
  </r>
  <r>
    <x v="37"/>
    <n v="0"/>
    <s v="Infrastructure"/>
    <s v="SOW"/>
    <x v="1"/>
    <m/>
    <s v="Ebs Migration To Exacc And Ebs Dr"/>
    <x v="0"/>
    <m/>
    <x v="0"/>
    <s v="VNA"/>
    <m/>
    <m/>
    <x v="1"/>
    <m/>
    <m/>
    <m/>
    <m/>
    <d v="2020-01-01T00:00:00"/>
    <s v="ON-GOING"/>
    <s v=""/>
    <s v=""/>
    <m/>
    <m/>
    <m/>
    <m/>
    <m/>
    <m/>
    <m/>
    <m/>
    <m/>
    <m/>
    <m/>
    <m/>
    <m/>
    <m/>
    <m/>
    <m/>
    <m/>
    <m/>
    <m/>
    <s v="G"/>
    <m/>
  </r>
  <r>
    <x v="38"/>
    <n v="0"/>
    <m/>
    <s v="MSA"/>
    <x v="0"/>
    <m/>
    <s v="Master Services Agreement"/>
    <x v="1"/>
    <m/>
    <x v="5"/>
    <s v="VNA"/>
    <m/>
    <m/>
    <x v="0"/>
    <m/>
    <m/>
    <m/>
    <s v="-"/>
    <d v="2021-12-01T00:00:00"/>
    <s v="n/a"/>
    <s v=""/>
    <s v=""/>
    <s v="Yes"/>
    <m/>
    <m/>
    <s v="$1M"/>
    <m/>
    <m/>
    <m/>
    <m/>
    <m/>
    <m/>
    <m/>
    <m/>
    <m/>
    <m/>
    <m/>
    <m/>
    <m/>
    <m/>
    <s v="$100K"/>
    <s v="G"/>
    <m/>
  </r>
  <r>
    <x v="38"/>
    <n v="0"/>
    <m/>
    <s v="SOW"/>
    <x v="2"/>
    <m/>
    <s v="Jiffy - DW solution &amp; Data Resiliency analysis"/>
    <x v="0"/>
    <m/>
    <x v="0"/>
    <s v="VNA"/>
    <m/>
    <m/>
    <x v="2"/>
    <s v="Net 30"/>
    <m/>
    <n v="116200"/>
    <n v="664"/>
    <d v="2022-06-01T00:00:00"/>
    <s v="ON-GOING"/>
    <s v=""/>
    <s v=""/>
    <s v="No"/>
    <m/>
    <s v="-"/>
    <s v="-"/>
    <m/>
    <m/>
    <s v="-"/>
    <m/>
    <s v="-"/>
    <s v="-"/>
    <m/>
    <m/>
    <m/>
    <m/>
    <m/>
    <m/>
    <m/>
    <m/>
    <s v="-"/>
    <s v="G"/>
    <s v="1. Viscosity will assess Jiffy Lube’s current environment and provide a proposal for a Data Warehouse (DW) solution._x000d__x000a_2. Analyze Jiffy Lube's application data feeds for data resiliency"/>
  </r>
  <r>
    <x v="39"/>
    <n v="0"/>
    <s v="Infrastructure"/>
    <s v="SOW"/>
    <x v="2"/>
    <s v="Sabika Rizvi"/>
    <s v="Just Born_VNA-Incorta Implementation SOW.docx_x000a_"/>
    <x v="0"/>
    <s v="Yes"/>
    <x v="0"/>
    <s v="VNA"/>
    <m/>
    <n v="4500032976"/>
    <x v="1"/>
    <m/>
    <m/>
    <m/>
    <n v="740"/>
    <d v="2023-07-06T00:00:00"/>
    <n v="7"/>
    <d v="2024-02-06T00:00:00"/>
    <n v="-765"/>
    <m/>
    <m/>
    <m/>
    <m/>
    <m/>
    <m/>
    <m/>
    <m/>
    <m/>
    <m/>
    <m/>
    <m/>
    <m/>
    <m/>
    <m/>
    <m/>
    <m/>
    <m/>
    <m/>
    <s v="R"/>
    <m/>
  </r>
  <r>
    <x v="39"/>
    <n v="0"/>
    <s v="Infrastructure"/>
    <s v="MSA"/>
    <x v="0"/>
    <m/>
    <s v="VNA.MSA.Just Born.June 2023.docx"/>
    <x v="0"/>
    <s v="Yes"/>
    <x v="0"/>
    <s v="VNA"/>
    <m/>
    <m/>
    <x v="1"/>
    <m/>
    <m/>
    <m/>
    <m/>
    <d v="2023-06-26T00:00:00"/>
    <n v="12"/>
    <d v="2024-06-26T00:00:00"/>
    <n v="-624"/>
    <m/>
    <m/>
    <m/>
    <m/>
    <m/>
    <m/>
    <m/>
    <m/>
    <m/>
    <m/>
    <m/>
    <m/>
    <m/>
    <m/>
    <m/>
    <m/>
    <m/>
    <m/>
    <m/>
    <s v="R"/>
    <s v="Automatic Renewal after 12 months -"/>
  </r>
  <r>
    <x v="40"/>
    <n v="0"/>
    <m/>
    <s v="NDA"/>
    <x v="0"/>
    <m/>
    <s v="Non-Disclosure Agreement"/>
    <x v="0"/>
    <m/>
    <x v="5"/>
    <s v="VNA"/>
    <m/>
    <m/>
    <x v="1"/>
    <m/>
    <m/>
    <m/>
    <m/>
    <d v="2022-11-22T00:00:00"/>
    <n v="36"/>
    <d v="2025-11-22T00:00:00"/>
    <n v="-110"/>
    <m/>
    <m/>
    <m/>
    <m/>
    <m/>
    <m/>
    <m/>
    <m/>
    <m/>
    <m/>
    <m/>
    <m/>
    <m/>
    <m/>
    <m/>
    <m/>
    <m/>
    <m/>
    <m/>
    <s v="R"/>
    <m/>
  </r>
  <r>
    <x v="41"/>
    <n v="0"/>
    <m/>
    <m/>
    <x v="6"/>
    <m/>
    <m/>
    <x v="1"/>
    <m/>
    <x v="4"/>
    <m/>
    <m/>
    <m/>
    <x v="1"/>
    <m/>
    <m/>
    <m/>
    <m/>
    <m/>
    <m/>
    <d v="1899-12-30T00:00:00"/>
    <n v="-46093"/>
    <m/>
    <m/>
    <m/>
    <m/>
    <m/>
    <m/>
    <m/>
    <m/>
    <m/>
    <m/>
    <m/>
    <m/>
    <m/>
    <m/>
    <m/>
    <m/>
    <m/>
    <m/>
    <m/>
    <s v="R"/>
    <m/>
  </r>
  <r>
    <x v="42"/>
    <n v="0"/>
    <m/>
    <s v="MSA"/>
    <x v="4"/>
    <m/>
    <m/>
    <x v="1"/>
    <m/>
    <x v="4"/>
    <m/>
    <m/>
    <m/>
    <x v="1"/>
    <m/>
    <m/>
    <m/>
    <m/>
    <m/>
    <m/>
    <d v="1899-12-30T00:00:00"/>
    <n v="-46093"/>
    <m/>
    <m/>
    <m/>
    <m/>
    <m/>
    <m/>
    <m/>
    <m/>
    <m/>
    <m/>
    <m/>
    <m/>
    <m/>
    <m/>
    <m/>
    <m/>
    <m/>
    <m/>
    <m/>
    <s v="R"/>
    <m/>
  </r>
  <r>
    <x v="42"/>
    <n v="0"/>
    <s v="Infrastructure"/>
    <s v="SOW"/>
    <x v="2"/>
    <m/>
    <s v="SUSE Linux Upgrade"/>
    <x v="0"/>
    <m/>
    <x v="0"/>
    <s v="VNA"/>
    <m/>
    <m/>
    <x v="2"/>
    <s v="Net 30"/>
    <m/>
    <n v="26400"/>
    <n v="176"/>
    <d v="2021-04-20T00:00:00"/>
    <s v="ON-GOING"/>
    <s v=""/>
    <s v=""/>
    <m/>
    <m/>
    <s v="-"/>
    <s v="-"/>
    <m/>
    <m/>
    <s v="-"/>
    <m/>
    <s v="-"/>
    <s v="-"/>
    <m/>
    <m/>
    <m/>
    <m/>
    <m/>
    <m/>
    <m/>
    <m/>
    <s v="-"/>
    <s v="G"/>
    <s v="Viscosity will update the SUSE operating system for the SAP ECC environment."/>
  </r>
  <r>
    <x v="43"/>
    <n v="0"/>
    <s v="Infrastructure"/>
    <s v="SOW"/>
    <x v="0"/>
    <m/>
    <s v="Signed MSA for Oracle Security Assessment"/>
    <x v="0"/>
    <s v="No"/>
    <x v="1"/>
    <s v="VNA"/>
    <s v="No"/>
    <s v="-"/>
    <x v="7"/>
    <s v="Net 30"/>
    <s v="-"/>
    <s v="-"/>
    <s v="-"/>
    <d v="2019-09-03T00:00:00"/>
    <m/>
    <d v="2019-09-03T00:00:00"/>
    <n v="-2382"/>
    <s v="Yes"/>
    <m/>
    <s v="$1M"/>
    <s v="$100K"/>
    <m/>
    <m/>
    <s v="-"/>
    <m/>
    <s v="-"/>
    <s v="-"/>
    <m/>
    <m/>
    <m/>
    <m/>
    <m/>
    <m/>
    <m/>
    <m/>
    <s v="-"/>
    <s v="R"/>
    <m/>
  </r>
  <r>
    <x v="43"/>
    <n v="0"/>
    <s v="Infrastructure"/>
    <s v="SOW"/>
    <x v="3"/>
    <m/>
    <s v="Oracle Security Assessment"/>
    <x v="0"/>
    <m/>
    <x v="2"/>
    <s v="VNA"/>
    <m/>
    <m/>
    <x v="0"/>
    <m/>
    <m/>
    <m/>
    <s v="-"/>
    <d v="2019-09-03T00:00:00"/>
    <s v="ON-GOING"/>
    <s v=""/>
    <s v=""/>
    <s v="Yes"/>
    <m/>
    <s v="$1M"/>
    <s v="$100K"/>
    <m/>
    <m/>
    <m/>
    <m/>
    <m/>
    <m/>
    <m/>
    <m/>
    <m/>
    <m/>
    <m/>
    <m/>
    <m/>
    <m/>
    <m/>
    <s v="G"/>
    <m/>
  </r>
  <r>
    <x v="43"/>
    <n v="0"/>
    <s v="Infrastructure"/>
    <s v="SOW"/>
    <x v="1"/>
    <m/>
    <s v="Bucket of Hours - IO Performance Review"/>
    <x v="0"/>
    <m/>
    <x v="0"/>
    <s v="VT"/>
    <s v="Yes"/>
    <n v="1000012449"/>
    <x v="2"/>
    <m/>
    <s v="-"/>
    <n v="7000"/>
    <n v="40"/>
    <d v="2022-05-23T00:00:00"/>
    <s v="Block of Hours"/>
    <s v=""/>
    <s v=""/>
    <m/>
    <m/>
    <m/>
    <m/>
    <m/>
    <m/>
    <m/>
    <m/>
    <m/>
    <m/>
    <m/>
    <m/>
    <m/>
    <m/>
    <m/>
    <m/>
    <m/>
    <m/>
    <m/>
    <s v="G"/>
    <m/>
  </r>
  <r>
    <x v="43"/>
    <n v="0"/>
    <s v="Infrastructure"/>
    <s v="SOW"/>
    <x v="1"/>
    <m/>
    <s v="IO Performance Review"/>
    <x v="0"/>
    <m/>
    <x v="2"/>
    <s v="VT"/>
    <m/>
    <m/>
    <x v="2"/>
    <m/>
    <m/>
    <m/>
    <n v="8"/>
    <d v="2022-05-23T00:00:00"/>
    <s v="ON-GOING"/>
    <s v=""/>
    <s v=""/>
    <m/>
    <m/>
    <s v="-"/>
    <s v="-"/>
    <m/>
    <m/>
    <s v="-"/>
    <m/>
    <s v="-"/>
    <s v="-"/>
    <m/>
    <m/>
    <m/>
    <m/>
    <m/>
    <m/>
    <m/>
    <m/>
    <s v="-"/>
    <s v="G"/>
    <s v="Viscosity will provide consulting services to review IO performance for Merit Medical Linux stack on VMware."/>
  </r>
  <r>
    <x v="43"/>
    <n v="0"/>
    <s v="Infrastructure"/>
    <s v="SOW"/>
    <x v="9"/>
    <m/>
    <s v="MERIT MEDICAL.VNA.RETAINER.JUNE2023.docx_x000a_"/>
    <x v="0"/>
    <s v="Yes"/>
    <x v="0"/>
    <s v="VT"/>
    <m/>
    <m/>
    <x v="1"/>
    <m/>
    <m/>
    <m/>
    <n v="50"/>
    <d v="2023-07-17T00:00:00"/>
    <n v="12"/>
    <d v="2024-07-17T00:00:00"/>
    <n v="-603"/>
    <m/>
    <m/>
    <m/>
    <m/>
    <m/>
    <m/>
    <m/>
    <m/>
    <m/>
    <m/>
    <m/>
    <m/>
    <m/>
    <m/>
    <m/>
    <m/>
    <m/>
    <m/>
    <m/>
    <s v="R"/>
    <m/>
  </r>
  <r>
    <x v="44"/>
    <n v="0"/>
    <m/>
    <s v="NDA"/>
    <x v="0"/>
    <m/>
    <s v="NDA Signed"/>
    <x v="0"/>
    <m/>
    <x v="5"/>
    <s v="VNA"/>
    <m/>
    <m/>
    <x v="0"/>
    <m/>
    <m/>
    <m/>
    <m/>
    <d v="2016-02-11T00:00:00"/>
    <n v="24"/>
    <d v="2018-02-11T00:00:00"/>
    <n v="-2951"/>
    <m/>
    <m/>
    <m/>
    <m/>
    <m/>
    <m/>
    <m/>
    <m/>
    <m/>
    <m/>
    <m/>
    <m/>
    <m/>
    <m/>
    <m/>
    <m/>
    <m/>
    <m/>
    <m/>
    <s v="R"/>
    <m/>
  </r>
  <r>
    <x v="44"/>
    <n v="0"/>
    <m/>
    <s v="MSA"/>
    <x v="0"/>
    <m/>
    <s v="Master Services Agreement"/>
    <x v="1"/>
    <m/>
    <x v="0"/>
    <s v="VNA"/>
    <m/>
    <m/>
    <x v="0"/>
    <m/>
    <m/>
    <m/>
    <s v="-"/>
    <m/>
    <m/>
    <d v="1899-12-30T00:00:00"/>
    <n v="-46093"/>
    <m/>
    <m/>
    <m/>
    <m/>
    <m/>
    <m/>
    <m/>
    <m/>
    <m/>
    <m/>
    <m/>
    <m/>
    <m/>
    <m/>
    <m/>
    <m/>
    <m/>
    <m/>
    <m/>
    <s v="R"/>
    <m/>
  </r>
  <r>
    <x v="44"/>
    <n v="0"/>
    <m/>
    <m/>
    <x v="6"/>
    <m/>
    <s v="MSB - Reboot Project 2022"/>
    <x v="1"/>
    <m/>
    <x v="4"/>
    <m/>
    <m/>
    <m/>
    <x v="2"/>
    <m/>
    <m/>
    <m/>
    <n v="160"/>
    <m/>
    <m/>
    <d v="1899-12-30T00:00:00"/>
    <n v="-46093"/>
    <m/>
    <m/>
    <s v="-"/>
    <s v="-"/>
    <m/>
    <m/>
    <s v="-"/>
    <m/>
    <s v="-"/>
    <s v="-"/>
    <m/>
    <m/>
    <m/>
    <m/>
    <m/>
    <m/>
    <m/>
    <m/>
    <s v="-"/>
    <s v="R"/>
    <s v="Restart of project/direction change"/>
  </r>
  <r>
    <x v="45"/>
    <n v="0"/>
    <m/>
    <s v="MSA"/>
    <x v="0"/>
    <m/>
    <s v="Master Services Agreement"/>
    <x v="0"/>
    <s v="Yes"/>
    <x v="0"/>
    <s v="VNA"/>
    <m/>
    <m/>
    <x v="2"/>
    <s v="Net 30"/>
    <m/>
    <m/>
    <m/>
    <d v="2023-01-01T00:00:00"/>
    <s v="ON-GOING"/>
    <s v=""/>
    <s v=""/>
    <s v="Yes"/>
    <m/>
    <s v="$1M"/>
    <s v="$100K"/>
    <m/>
    <m/>
    <m/>
    <m/>
    <m/>
    <m/>
    <m/>
    <m/>
    <m/>
    <m/>
    <m/>
    <m/>
    <m/>
    <m/>
    <m/>
    <s v="G"/>
    <m/>
  </r>
  <r>
    <x v="45"/>
    <n v="0"/>
    <m/>
    <s v="NDA"/>
    <x v="0"/>
    <m/>
    <s v="VNA -MNDA .MountainWest November 2022"/>
    <x v="0"/>
    <s v="Yes"/>
    <x v="3"/>
    <s v="VNA"/>
    <m/>
    <m/>
    <x v="1"/>
    <m/>
    <m/>
    <m/>
    <m/>
    <m/>
    <m/>
    <d v="1899-12-30T00:00:00"/>
    <n v="-46093"/>
    <m/>
    <m/>
    <m/>
    <m/>
    <m/>
    <m/>
    <m/>
    <m/>
    <m/>
    <m/>
    <m/>
    <m/>
    <m/>
    <m/>
    <m/>
    <m/>
    <m/>
    <m/>
    <m/>
    <s v="R"/>
    <m/>
  </r>
  <r>
    <x v="45"/>
    <n v="0"/>
    <m/>
    <s v="SOW"/>
    <x v="10"/>
    <m/>
    <s v="MOUNTAINWEST PIPELINE.VNA.RETAINER.JUNE2023.docx_x000a_"/>
    <x v="0"/>
    <s v="Yes"/>
    <x v="0"/>
    <s v="VNA"/>
    <m/>
    <m/>
    <x v="1"/>
    <m/>
    <m/>
    <m/>
    <m/>
    <d v="2023-08-03T00:00:00"/>
    <m/>
    <d v="2023-08-03T00:00:00"/>
    <n v="-952"/>
    <m/>
    <m/>
    <m/>
    <m/>
    <m/>
    <m/>
    <m/>
    <m/>
    <m/>
    <m/>
    <m/>
    <m/>
    <m/>
    <m/>
    <m/>
    <m/>
    <m/>
    <m/>
    <m/>
    <s v="R"/>
    <m/>
  </r>
  <r>
    <x v="45"/>
    <n v="0"/>
    <s v="Development"/>
    <s v="SOW"/>
    <x v="2"/>
    <m/>
    <s v="Project Jazz"/>
    <x v="0"/>
    <m/>
    <x v="0"/>
    <s v="VNA"/>
    <s v="Unknown"/>
    <s v="PO not issued"/>
    <x v="2"/>
    <s v="Net 30"/>
    <n v="21625"/>
    <n v="129750"/>
    <s v="40 hrs/week"/>
    <d v="2023-01-03T00:00:00"/>
    <n v="6"/>
    <d v="2023-07-03T00:00:00"/>
    <n v="-983"/>
    <m/>
    <m/>
    <m/>
    <m/>
    <m/>
    <m/>
    <m/>
    <m/>
    <m/>
    <m/>
    <m/>
    <m/>
    <m/>
    <m/>
    <m/>
    <m/>
    <m/>
    <m/>
    <m/>
    <s v="R"/>
    <m/>
  </r>
  <r>
    <x v="46"/>
    <n v="0"/>
    <m/>
    <s v="CSA"/>
    <x v="0"/>
    <m/>
    <s v="MANGO VOLUME &amp; INVENTORY SYSTEM CONSULTANT AGREEMENT"/>
    <x v="0"/>
    <s v="Yes"/>
    <x v="4"/>
    <s v="VT"/>
    <m/>
    <m/>
    <x v="1"/>
    <s v="Net 30"/>
    <n v="5053.125"/>
    <n v="161700"/>
    <m/>
    <d v="2023-04-15T00:00:00"/>
    <s v="ON-GOING"/>
    <s v=""/>
    <s v=""/>
    <s v="Yes"/>
    <m/>
    <s v="$1M"/>
    <s v="$100K"/>
    <m/>
    <m/>
    <m/>
    <m/>
    <m/>
    <m/>
    <m/>
    <m/>
    <m/>
    <m/>
    <m/>
    <m/>
    <m/>
    <m/>
    <m/>
    <s v="G"/>
    <m/>
  </r>
  <r>
    <x v="46"/>
    <n v="0"/>
    <s v="Development"/>
    <s v="SOW"/>
    <x v="2"/>
    <m/>
    <s v="SOW - NMB_Custom APEX Training_June 2022"/>
    <x v="1"/>
    <m/>
    <x v="2"/>
    <s v="VNA"/>
    <m/>
    <m/>
    <x v="4"/>
    <m/>
    <m/>
    <m/>
    <m/>
    <d v="2022-06-20T00:00:00"/>
    <s v="ON-GOING"/>
    <s v=""/>
    <s v=""/>
    <m/>
    <m/>
    <s v="-"/>
    <s v="-"/>
    <m/>
    <m/>
    <s v="-"/>
    <m/>
    <s v="-"/>
    <s v="-"/>
    <m/>
    <m/>
    <m/>
    <m/>
    <m/>
    <m/>
    <m/>
    <m/>
    <s v="-"/>
    <s v="G"/>
    <s v="Custom Oracle APEX training for NMB"/>
  </r>
  <r>
    <x v="46"/>
    <n v="0"/>
    <s v="Development"/>
    <s v="SOW"/>
    <x v="2"/>
    <m/>
    <s v="Mango Volume &amp; Inventory System SOW"/>
    <x v="0"/>
    <m/>
    <x v="2"/>
    <s v="VNA"/>
    <m/>
    <m/>
    <x v="1"/>
    <m/>
    <m/>
    <m/>
    <m/>
    <d v="2021-02-08T00:00:00"/>
    <n v="25"/>
    <d v="2023-03-08T00:00:00"/>
    <n v="-1100"/>
    <m/>
    <m/>
    <m/>
    <m/>
    <m/>
    <m/>
    <m/>
    <m/>
    <m/>
    <m/>
    <m/>
    <m/>
    <m/>
    <m/>
    <m/>
    <m/>
    <m/>
    <m/>
    <m/>
    <s v="R"/>
    <m/>
  </r>
  <r>
    <x v="47"/>
    <s v="-"/>
    <s v="Infrastructure"/>
    <s v="Limited Services Agreement"/>
    <x v="2"/>
    <m/>
    <s v="Limited Services Agreement FINAL 20230519.docx"/>
    <x v="0"/>
    <s v="Yes"/>
    <x v="0"/>
    <s v="VNA"/>
    <m/>
    <m/>
    <x v="1"/>
    <m/>
    <m/>
    <m/>
    <m/>
    <d v="2023-05-25T00:00:00"/>
    <m/>
    <d v="2023-12-31T00:00:00"/>
    <n v="-802"/>
    <m/>
    <m/>
    <m/>
    <m/>
    <m/>
    <m/>
    <m/>
    <m/>
    <m/>
    <m/>
    <m/>
    <m/>
    <m/>
    <m/>
    <m/>
    <m/>
    <m/>
    <m/>
    <m/>
    <s v="R"/>
    <m/>
  </r>
  <r>
    <x v="48"/>
    <n v="0"/>
    <s v="Development"/>
    <s v="SOW"/>
    <x v="2"/>
    <s v="Beatriz Aguirre"/>
    <s v="Enterprise Asset Management System SOW"/>
    <x v="0"/>
    <s v="Yes"/>
    <x v="0"/>
    <s v="VNA"/>
    <m/>
    <m/>
    <x v="1"/>
    <m/>
    <m/>
    <m/>
    <s v="NA"/>
    <d v="2023-08-01T00:00:00"/>
    <s v="TBD"/>
    <d v="2024-12-31T00:00:00"/>
    <n v="-436"/>
    <m/>
    <m/>
    <m/>
    <m/>
    <m/>
    <m/>
    <m/>
    <m/>
    <m/>
    <m/>
    <m/>
    <m/>
    <m/>
    <m/>
    <m/>
    <m/>
    <m/>
    <m/>
    <m/>
    <s v="R"/>
    <m/>
  </r>
  <r>
    <x v="48"/>
    <n v="0"/>
    <s v="Development"/>
    <s v="MSA"/>
    <x v="2"/>
    <m/>
    <s v="Master Services Agreement"/>
    <x v="0"/>
    <s v="Yes"/>
    <x v="0"/>
    <s v="VNA"/>
    <m/>
    <m/>
    <x v="1"/>
    <m/>
    <m/>
    <m/>
    <s v="NA"/>
    <d v="2023-07-18T00:00:00"/>
    <m/>
    <d v="2023-07-18T00:00:00"/>
    <n v="-968"/>
    <m/>
    <m/>
    <m/>
    <m/>
    <m/>
    <m/>
    <m/>
    <m/>
    <m/>
    <m/>
    <m/>
    <m/>
    <m/>
    <m/>
    <m/>
    <m/>
    <m/>
    <m/>
    <m/>
    <s v="R"/>
    <s v="MSA and SOW signed under one document in DocuSign "/>
  </r>
  <r>
    <x v="49"/>
    <n v="0"/>
    <m/>
    <s v="MSA"/>
    <x v="0"/>
    <m/>
    <s v="Master Services Agreement"/>
    <x v="0"/>
    <m/>
    <x v="0"/>
    <s v="VT"/>
    <m/>
    <m/>
    <x v="1"/>
    <m/>
    <m/>
    <m/>
    <m/>
    <d v="2022-06-01T00:00:00"/>
    <s v="ON-GOING"/>
    <s v=""/>
    <s v=""/>
    <m/>
    <m/>
    <s v="$2M"/>
    <s v="$1M"/>
    <m/>
    <m/>
    <m/>
    <m/>
    <m/>
    <m/>
    <m/>
    <m/>
    <m/>
    <m/>
    <m/>
    <m/>
    <m/>
    <m/>
    <m/>
    <s v="G"/>
    <m/>
  </r>
  <r>
    <x v="49"/>
    <n v="0"/>
    <m/>
    <s v="NDA"/>
    <x v="0"/>
    <m/>
    <s v="Non-Disclosure Agreement"/>
    <x v="0"/>
    <m/>
    <x v="0"/>
    <s v="VNA"/>
    <s v="Yes"/>
    <m/>
    <x v="1"/>
    <m/>
    <m/>
    <m/>
    <m/>
    <d v="2017-09-25T00:00:00"/>
    <s v="ON-GOING"/>
    <s v=""/>
    <s v=""/>
    <m/>
    <m/>
    <m/>
    <m/>
    <m/>
    <m/>
    <m/>
    <m/>
    <m/>
    <m/>
    <m/>
    <m/>
    <m/>
    <m/>
    <m/>
    <m/>
    <m/>
    <m/>
    <m/>
    <s v="G"/>
    <m/>
  </r>
  <r>
    <x v="49"/>
    <n v="0"/>
    <s v="Infrastructure"/>
    <s v="SOW"/>
    <x v="2"/>
    <m/>
    <s v="ODA Migration"/>
    <x v="0"/>
    <m/>
    <x v="0"/>
    <s v="VT"/>
    <s v="Yes"/>
    <m/>
    <x v="4"/>
    <m/>
    <m/>
    <n v="75000"/>
    <n v="424"/>
    <d v="2022-07-25T00:00:00"/>
    <s v="Block of Hours"/>
    <s v=""/>
    <s v=""/>
    <m/>
    <m/>
    <s v="-"/>
    <s v="-"/>
    <m/>
    <m/>
    <s v="-"/>
    <m/>
    <s v="-"/>
    <s v="-"/>
    <m/>
    <m/>
    <m/>
    <m/>
    <m/>
    <m/>
    <m/>
    <m/>
    <s v="-"/>
    <s v="G"/>
    <s v="Viscosity Technology, Inc. will provide consulting services to NMG to_x000d__x000a_migrate 4 databases listed below from the Exadata X5-2 to new ODAs in the Plano data center_x000d__x000a_leveraging Data Guard."/>
  </r>
  <r>
    <x v="50"/>
    <n v="0"/>
    <m/>
    <s v="MSA"/>
    <x v="0"/>
    <m/>
    <s v="Master Services Agreement"/>
    <x v="0"/>
    <s v="No"/>
    <x v="0"/>
    <s v="VNA"/>
    <m/>
    <m/>
    <x v="1"/>
    <s v="Net 30"/>
    <m/>
    <m/>
    <m/>
    <d v="2018-05-20T00:00:00"/>
    <s v="ON-GOING"/>
    <s v=""/>
    <s v=""/>
    <s v="Yes"/>
    <m/>
    <s v="$1M"/>
    <s v="$100K"/>
    <m/>
    <m/>
    <m/>
    <m/>
    <m/>
    <m/>
    <m/>
    <m/>
    <m/>
    <m/>
    <m/>
    <m/>
    <m/>
    <m/>
    <m/>
    <s v="G"/>
    <m/>
  </r>
  <r>
    <x v="50"/>
    <n v="0"/>
    <s v="Development"/>
    <s v="SOW"/>
    <x v="2"/>
    <m/>
    <s v="ZFS Setup and Configuration (Not Signed)"/>
    <x v="1"/>
    <m/>
    <x v="2"/>
    <s v="VNA"/>
    <m/>
    <m/>
    <x v="4"/>
    <m/>
    <m/>
    <m/>
    <m/>
    <d v="2019-04-10T00:00:00"/>
    <s v="ON-GOING"/>
    <s v=""/>
    <s v=""/>
    <m/>
    <m/>
    <s v="-"/>
    <s v="-"/>
    <m/>
    <m/>
    <s v="-"/>
    <m/>
    <s v="-"/>
    <s v="-"/>
    <m/>
    <m/>
    <m/>
    <m/>
    <m/>
    <m/>
    <m/>
    <m/>
    <s v="-"/>
    <s v="G"/>
    <s v="Setup ZFS for ODA and Oracle Backup"/>
  </r>
  <r>
    <x v="50"/>
    <n v="0"/>
    <s v="Infrastructure"/>
    <s v="SOW"/>
    <x v="2"/>
    <m/>
    <s v="Oracle Database"/>
    <x v="0"/>
    <m/>
    <x v="2"/>
    <s v="VNA"/>
    <m/>
    <m/>
    <x v="6"/>
    <m/>
    <m/>
    <m/>
    <m/>
    <d v="2018-05-20T00:00:00"/>
    <s v="ON-GOING"/>
    <s v=""/>
    <s v=""/>
    <m/>
    <m/>
    <s v="-"/>
    <s v="-"/>
    <m/>
    <m/>
    <s v="-"/>
    <m/>
    <s v="-"/>
    <s v="-"/>
    <m/>
    <m/>
    <m/>
    <m/>
    <m/>
    <m/>
    <m/>
    <m/>
    <s v="-"/>
    <s v="G"/>
    <s v="Viscosity will perform consulting services to configure and build the Oracle Database on the_x000d__x000a_existing Oracle Database Appliance(s) and collaborate with the NeoSystems Database_x000d__x000a_Administration team"/>
  </r>
  <r>
    <x v="51"/>
    <n v="0"/>
    <s v="Infrastructure"/>
    <s v="SOW"/>
    <x v="2"/>
    <m/>
    <s v="Exadata Patching - 19c-2022"/>
    <x v="0"/>
    <m/>
    <x v="0"/>
    <s v="VNA"/>
    <s v="Yes"/>
    <n v="4000207399"/>
    <x v="8"/>
    <m/>
    <m/>
    <n v="10500"/>
    <m/>
    <d v="2022-09-01T00:00:00"/>
    <s v="ON-GOING"/>
    <s v=""/>
    <s v=""/>
    <m/>
    <m/>
    <m/>
    <m/>
    <m/>
    <m/>
    <m/>
    <m/>
    <m/>
    <m/>
    <m/>
    <m/>
    <m/>
    <m/>
    <m/>
    <m/>
    <m/>
    <m/>
    <m/>
    <s v="G"/>
    <m/>
  </r>
  <r>
    <x v="52"/>
    <n v="0"/>
    <m/>
    <s v="MSA"/>
    <x v="0"/>
    <m/>
    <s v="Master Services Agreement"/>
    <x v="0"/>
    <m/>
    <x v="0"/>
    <s v="VNA"/>
    <s v="No"/>
    <s v="Invoice"/>
    <x v="2"/>
    <m/>
    <m/>
    <m/>
    <m/>
    <d v="2022-05-20T00:00:00"/>
    <s v="ON-GOING"/>
    <s v=""/>
    <s v=""/>
    <m/>
    <m/>
    <m/>
    <m/>
    <m/>
    <m/>
    <m/>
    <m/>
    <m/>
    <m/>
    <m/>
    <m/>
    <m/>
    <m/>
    <m/>
    <m/>
    <m/>
    <m/>
    <m/>
    <s v="G"/>
    <m/>
  </r>
  <r>
    <x v="52"/>
    <n v="0"/>
    <m/>
    <s v="MSA"/>
    <x v="0"/>
    <m/>
    <s v="MSA-VNA.Poplar.2022.FINAL.docx"/>
    <x v="0"/>
    <s v="Yes"/>
    <x v="0"/>
    <s v="VNA"/>
    <m/>
    <m/>
    <x v="1"/>
    <s v="Net 30"/>
    <m/>
    <m/>
    <m/>
    <d v="2022-05-20T00:00:00"/>
    <s v="ON-GOING"/>
    <s v=""/>
    <s v=""/>
    <s v="Yes"/>
    <m/>
    <s v="$1M"/>
    <s v="$100K"/>
    <m/>
    <m/>
    <m/>
    <m/>
    <m/>
    <m/>
    <m/>
    <m/>
    <m/>
    <m/>
    <m/>
    <m/>
    <m/>
    <m/>
    <m/>
    <s v="G"/>
    <m/>
  </r>
  <r>
    <x v="52"/>
    <n v="0"/>
    <m/>
    <s v="HIPAA"/>
    <x v="0"/>
    <m/>
    <s v="Business Associate Agreement"/>
    <x v="0"/>
    <s v="Yes"/>
    <x v="0"/>
    <s v="VNA"/>
    <m/>
    <m/>
    <x v="1"/>
    <m/>
    <m/>
    <m/>
    <m/>
    <s v="N/A"/>
    <s v="ON-GOING"/>
    <s v=""/>
    <s v=""/>
    <m/>
    <m/>
    <m/>
    <m/>
    <m/>
    <m/>
    <m/>
    <m/>
    <m/>
    <m/>
    <m/>
    <m/>
    <m/>
    <m/>
    <m/>
    <m/>
    <m/>
    <m/>
    <m/>
    <s v="G"/>
    <m/>
  </r>
  <r>
    <x v="52"/>
    <n v="0"/>
    <s v="Development"/>
    <s v="SOW"/>
    <x v="2"/>
    <m/>
    <s v="Poplar Sql Server Farm Reconfiguration"/>
    <x v="0"/>
    <m/>
    <x v="2"/>
    <s v="VNA"/>
    <m/>
    <m/>
    <x v="1"/>
    <m/>
    <m/>
    <m/>
    <n v="440"/>
    <d v="2022-05-20T00:00:00"/>
    <s v="Block of Hours"/>
    <s v=""/>
    <s v=""/>
    <m/>
    <m/>
    <m/>
    <m/>
    <m/>
    <m/>
    <m/>
    <m/>
    <m/>
    <m/>
    <m/>
    <m/>
    <m/>
    <m/>
    <m/>
    <m/>
    <m/>
    <m/>
    <m/>
    <s v="G"/>
    <m/>
  </r>
  <r>
    <x v="52"/>
    <n v="0"/>
    <s v="Infrastructure"/>
    <s v="SOW"/>
    <x v="1"/>
    <s v="Sophie Aaron"/>
    <s v="SQL Server Remote Monitoring &amp; Management"/>
    <x v="0"/>
    <m/>
    <x v="0"/>
    <s v="VT"/>
    <s v="No"/>
    <s v="Invoice"/>
    <x v="2"/>
    <m/>
    <n v="4210"/>
    <n v="50520"/>
    <s v="20 Hrs/Month"/>
    <d v="2023-03-01T00:00:00"/>
    <n v="12"/>
    <d v="2024-03-01T00:00:00"/>
    <n v="-741"/>
    <m/>
    <m/>
    <m/>
    <m/>
    <m/>
    <m/>
    <m/>
    <m/>
    <m/>
    <m/>
    <m/>
    <m/>
    <m/>
    <m/>
    <m/>
    <m/>
    <m/>
    <m/>
    <m/>
    <s v="R"/>
    <m/>
  </r>
  <r>
    <x v="52"/>
    <n v="0"/>
    <s v="Infrastructure"/>
    <s v="Change Order"/>
    <x v="1"/>
    <m/>
    <s v="POPLAR MANAGED SERVICES CHANGE ORDER 5-22-23.docx_x000a_"/>
    <x v="0"/>
    <s v="Yes"/>
    <x v="0"/>
    <s v="VT"/>
    <m/>
    <m/>
    <x v="1"/>
    <m/>
    <m/>
    <m/>
    <m/>
    <d v="2023-06-14T00:00:00"/>
    <m/>
    <d v="2023-06-14T00:00:00"/>
    <n v="-1002"/>
    <m/>
    <m/>
    <m/>
    <m/>
    <m/>
    <m/>
    <m/>
    <m/>
    <m/>
    <m/>
    <m/>
    <m/>
    <m/>
    <m/>
    <m/>
    <m/>
    <m/>
    <m/>
    <m/>
    <s v="R"/>
    <s v="Outlines the revision in scope for the Poplar Managed Services agreement specific to monitored _x000a_components:"/>
  </r>
  <r>
    <x v="53"/>
    <n v="0"/>
    <m/>
    <s v="NDA"/>
    <x v="0"/>
    <m/>
    <s v="Signed"/>
    <x v="0"/>
    <m/>
    <x v="5"/>
    <s v="VNA"/>
    <m/>
    <m/>
    <x v="0"/>
    <m/>
    <m/>
    <m/>
    <s v="-"/>
    <d v="2022-09-21T00:00:00"/>
    <s v="ON-GOING"/>
    <s v=""/>
    <s v=""/>
    <s v="No"/>
    <m/>
    <m/>
    <m/>
    <m/>
    <m/>
    <m/>
    <m/>
    <m/>
    <m/>
    <m/>
    <m/>
    <m/>
    <m/>
    <m/>
    <m/>
    <m/>
    <m/>
    <m/>
    <s v="G"/>
    <m/>
  </r>
  <r>
    <x v="53"/>
    <n v="0"/>
    <s v="Infrastructure"/>
    <s v="SOW"/>
    <x v="3"/>
    <m/>
    <s v="Signed"/>
    <x v="0"/>
    <m/>
    <x v="2"/>
    <s v="VNA"/>
    <m/>
    <m/>
    <x v="2"/>
    <m/>
    <m/>
    <m/>
    <n v="58"/>
    <d v="2022-09-30T00:00:00"/>
    <s v="ON-GOING"/>
    <s v=""/>
    <s v=""/>
    <s v="No"/>
    <m/>
    <m/>
    <m/>
    <m/>
    <m/>
    <m/>
    <m/>
    <m/>
    <m/>
    <m/>
    <m/>
    <m/>
    <m/>
    <m/>
    <m/>
    <m/>
    <m/>
    <m/>
    <s v="G"/>
    <m/>
  </r>
  <r>
    <x v="54"/>
    <n v="0"/>
    <m/>
    <m/>
    <x v="6"/>
    <m/>
    <m/>
    <x v="1"/>
    <m/>
    <x v="2"/>
    <s v="VT"/>
    <m/>
    <m/>
    <x v="1"/>
    <m/>
    <m/>
    <m/>
    <m/>
    <m/>
    <m/>
    <d v="1899-12-30T00:00:00"/>
    <n v="-46093"/>
    <m/>
    <m/>
    <m/>
    <m/>
    <m/>
    <m/>
    <m/>
    <m/>
    <m/>
    <m/>
    <m/>
    <m/>
    <m/>
    <m/>
    <m/>
    <m/>
    <m/>
    <m/>
    <m/>
    <s v="R"/>
    <m/>
  </r>
  <r>
    <x v="55"/>
    <n v="0"/>
    <m/>
    <s v="MSA"/>
    <x v="0"/>
    <m/>
    <s v="Subcontractor Agreement"/>
    <x v="1"/>
    <m/>
    <x v="0"/>
    <s v="VNA"/>
    <s v="Yes"/>
    <m/>
    <x v="1"/>
    <m/>
    <m/>
    <m/>
    <m/>
    <m/>
    <m/>
    <d v="1899-12-30T00:00:00"/>
    <n v="-46093"/>
    <m/>
    <m/>
    <m/>
    <m/>
    <m/>
    <m/>
    <m/>
    <m/>
    <m/>
    <m/>
    <m/>
    <m/>
    <m/>
    <m/>
    <m/>
    <m/>
    <m/>
    <m/>
    <m/>
    <s v="R"/>
    <m/>
  </r>
  <r>
    <x v="56"/>
    <n v="0"/>
    <m/>
    <m/>
    <x v="6"/>
    <m/>
    <s v="SAN DIEGO COUNTY SHERIFFS DEPARTMENT"/>
    <x v="1"/>
    <m/>
    <x v="2"/>
    <m/>
    <m/>
    <m/>
    <x v="2"/>
    <m/>
    <m/>
    <m/>
    <m/>
    <m/>
    <m/>
    <d v="1899-12-30T00:00:00"/>
    <n v="-46093"/>
    <m/>
    <m/>
    <s v="-"/>
    <s v="-"/>
    <m/>
    <m/>
    <s v="-"/>
    <m/>
    <s v="-"/>
    <s v="-"/>
    <m/>
    <m/>
    <m/>
    <m/>
    <m/>
    <m/>
    <m/>
    <m/>
    <s v="-"/>
    <s v="R"/>
    <s v="Viscosity will provide technical direction, roadmap and implementation expertise for Inovio/Nab SharePlex implementation to set up replication between the data centers in an active/activeconfiguration"/>
  </r>
  <r>
    <x v="57"/>
    <n v="0"/>
    <m/>
    <s v="MSA"/>
    <x v="0"/>
    <m/>
    <s v="Master Services Agreement"/>
    <x v="0"/>
    <m/>
    <x v="0"/>
    <s v="VNA"/>
    <m/>
    <m/>
    <x v="1"/>
    <m/>
    <m/>
    <m/>
    <m/>
    <d v="2023-02-16T00:00:00"/>
    <s v="ON-GOING"/>
    <s v=""/>
    <s v=""/>
    <m/>
    <m/>
    <m/>
    <m/>
    <m/>
    <m/>
    <m/>
    <m/>
    <m/>
    <m/>
    <m/>
    <m/>
    <m/>
    <m/>
    <m/>
    <m/>
    <m/>
    <m/>
    <m/>
    <s v="G"/>
    <m/>
  </r>
  <r>
    <x v="57"/>
    <n v="0"/>
    <m/>
    <s v="NDA"/>
    <x v="0"/>
    <m/>
    <s v="Non-Disclosure Agreement"/>
    <x v="1"/>
    <m/>
    <x v="5"/>
    <s v="VNA"/>
    <m/>
    <m/>
    <x v="1"/>
    <m/>
    <m/>
    <m/>
    <m/>
    <d v="2023-01-09T00:00:00"/>
    <s v="n/a"/>
    <s v=""/>
    <s v=""/>
    <m/>
    <m/>
    <m/>
    <m/>
    <m/>
    <m/>
    <m/>
    <m/>
    <m/>
    <m/>
    <m/>
    <m/>
    <m/>
    <m/>
    <m/>
    <m/>
    <m/>
    <m/>
    <m/>
    <s v="G"/>
    <m/>
  </r>
  <r>
    <x v="57"/>
    <n v="0"/>
    <s v="Infrastructure"/>
    <s v="SOW"/>
    <x v="2"/>
    <m/>
    <s v="Health Check"/>
    <x v="0"/>
    <m/>
    <x v="0"/>
    <s v="VNA"/>
    <m/>
    <m/>
    <x v="1"/>
    <m/>
    <m/>
    <m/>
    <n v="404"/>
    <d v="2023-03-03T00:00:00"/>
    <s v="Block of Hours"/>
    <s v=""/>
    <s v=""/>
    <m/>
    <m/>
    <m/>
    <m/>
    <m/>
    <m/>
    <m/>
    <m/>
    <m/>
    <m/>
    <m/>
    <m/>
    <m/>
    <m/>
    <m/>
    <m/>
    <m/>
    <m/>
    <m/>
    <s v="G"/>
    <m/>
  </r>
  <r>
    <x v="58"/>
    <n v="0"/>
    <m/>
    <s v="NDA"/>
    <x v="0"/>
    <m/>
    <s v="Non-Disclosure Agreement"/>
    <x v="0"/>
    <m/>
    <x v="0"/>
    <m/>
    <m/>
    <m/>
    <x v="1"/>
    <m/>
    <m/>
    <m/>
    <m/>
    <d v="2018-11-27T00:00:00"/>
    <s v="ON-GOING"/>
    <s v=""/>
    <s v=""/>
    <m/>
    <m/>
    <m/>
    <m/>
    <m/>
    <m/>
    <m/>
    <m/>
    <m/>
    <m/>
    <m/>
    <m/>
    <m/>
    <m/>
    <m/>
    <m/>
    <m/>
    <m/>
    <m/>
    <s v="G"/>
    <m/>
  </r>
  <r>
    <x v="58"/>
    <n v="0"/>
    <m/>
    <s v="MSA"/>
    <x v="0"/>
    <m/>
    <s v="Master Services Agreement"/>
    <x v="0"/>
    <m/>
    <x v="0"/>
    <s v="VNA"/>
    <s v="No"/>
    <m/>
    <x v="7"/>
    <m/>
    <m/>
    <m/>
    <m/>
    <d v="2018-12-01T00:00:00"/>
    <s v="ON-GOING"/>
    <s v=""/>
    <s v=""/>
    <m/>
    <m/>
    <m/>
    <m/>
    <m/>
    <m/>
    <m/>
    <m/>
    <m/>
    <m/>
    <m/>
    <m/>
    <m/>
    <m/>
    <m/>
    <m/>
    <m/>
    <m/>
    <m/>
    <s v="G"/>
    <m/>
  </r>
  <r>
    <x v="58"/>
    <n v="0"/>
    <s v="Development"/>
    <s v="SOW"/>
    <x v="2"/>
    <m/>
    <s v="Development Support"/>
    <x v="0"/>
    <m/>
    <x v="1"/>
    <s v="VNA"/>
    <m/>
    <m/>
    <x v="2"/>
    <m/>
    <m/>
    <m/>
    <n v="20"/>
    <d v="2021-01-10T00:00:00"/>
    <n v="1"/>
    <d v="2021-02-20T00:00:00"/>
    <n v="-1846"/>
    <m/>
    <m/>
    <s v="-"/>
    <s v="-"/>
    <m/>
    <m/>
    <s v="-"/>
    <m/>
    <s v="-"/>
    <s v="-"/>
    <m/>
    <m/>
    <m/>
    <m/>
    <m/>
    <m/>
    <m/>
    <m/>
    <s v="-"/>
    <s v="R"/>
    <m/>
  </r>
  <r>
    <x v="59"/>
    <n v="0"/>
    <m/>
    <m/>
    <x v="2"/>
    <s v="Beatriz Aguirre"/>
    <s v="Applicant Tracking System"/>
    <x v="2"/>
    <m/>
    <x v="5"/>
    <m/>
    <m/>
    <m/>
    <x v="1"/>
    <m/>
    <m/>
    <m/>
    <m/>
    <m/>
    <m/>
    <d v="1899-12-30T00:00:00"/>
    <n v="-46093"/>
    <m/>
    <m/>
    <m/>
    <m/>
    <m/>
    <m/>
    <m/>
    <m/>
    <m/>
    <m/>
    <m/>
    <m/>
    <m/>
    <m/>
    <m/>
    <m/>
    <m/>
    <m/>
    <m/>
    <s v="R"/>
    <m/>
  </r>
  <r>
    <x v="59"/>
    <n v="0"/>
    <m/>
    <m/>
    <x v="2"/>
    <s v="Beatriz Aguirre"/>
    <s v="Oracle Cloud Infrastructure- Infrastructure Support and Maintenance"/>
    <x v="2"/>
    <m/>
    <x v="5"/>
    <m/>
    <m/>
    <n v="400593"/>
    <x v="1"/>
    <m/>
    <m/>
    <m/>
    <m/>
    <m/>
    <m/>
    <d v="1899-12-30T00:00:00"/>
    <n v="-46093"/>
    <m/>
    <m/>
    <m/>
    <m/>
    <m/>
    <m/>
    <m/>
    <m/>
    <m/>
    <m/>
    <m/>
    <m/>
    <m/>
    <m/>
    <m/>
    <m/>
    <m/>
    <m/>
    <m/>
    <s v="R"/>
    <m/>
  </r>
  <r>
    <x v="60"/>
    <n v="0"/>
    <s v="Infrastructure"/>
    <s v="PO"/>
    <x v="2"/>
    <s v="Leisa Pitner"/>
    <s v="Proactive Performance Health Check Assessment"/>
    <x v="1"/>
    <s v="No"/>
    <x v="0"/>
    <s v="VNA"/>
    <m/>
    <m/>
    <x v="1"/>
    <m/>
    <m/>
    <m/>
    <m/>
    <d v="2023-08-17T00:00:00"/>
    <n v="2"/>
    <d v="2023-10-17T00:00:00"/>
    <n v="-877"/>
    <m/>
    <m/>
    <m/>
    <m/>
    <m/>
    <m/>
    <m/>
    <m/>
    <m/>
    <m/>
    <m/>
    <m/>
    <m/>
    <m/>
    <m/>
    <m/>
    <m/>
    <m/>
    <m/>
    <s v="R"/>
    <s v="Is this still active?"/>
  </r>
  <r>
    <x v="61"/>
    <n v="0"/>
    <s v="Infrastructure"/>
    <s v="SOW"/>
    <x v="1"/>
    <s v="Sophie Aaron"/>
    <s v="DBA Managed Services"/>
    <x v="0"/>
    <m/>
    <x v="0"/>
    <s v="VNA"/>
    <s v="Yes"/>
    <m/>
    <x v="2"/>
    <m/>
    <m/>
    <m/>
    <n v="30"/>
    <d v="2015-12-10T00:00:00"/>
    <n v="24"/>
    <d v="2017-12-10T00:00:00"/>
    <n v="-3014"/>
    <m/>
    <m/>
    <s v="-"/>
    <s v="-"/>
    <m/>
    <m/>
    <s v="-"/>
    <m/>
    <s v="-"/>
    <s v="-"/>
    <m/>
    <m/>
    <m/>
    <m/>
    <m/>
    <m/>
    <m/>
    <m/>
    <s v="-"/>
    <s v="R"/>
    <m/>
  </r>
  <r>
    <x v="61"/>
    <n v="0"/>
    <s v="Infrastructure"/>
    <s v="SOW"/>
    <x v="1"/>
    <s v="Sophie Aaron"/>
    <s v="RIA Support Services"/>
    <x v="0"/>
    <s v="Yes"/>
    <x v="0"/>
    <s v="VNA"/>
    <s v="Yes"/>
    <m/>
    <x v="2"/>
    <m/>
    <n v="5000"/>
    <n v="45000"/>
    <n v="360"/>
    <d v="2023-03-01T00:00:00"/>
    <n v="9"/>
    <d v="2023-12-31T00:00:00"/>
    <n v="-802"/>
    <m/>
    <m/>
    <m/>
    <m/>
    <m/>
    <m/>
    <m/>
    <m/>
    <m/>
    <m/>
    <m/>
    <m/>
    <m/>
    <m/>
    <m/>
    <m/>
    <m/>
    <m/>
    <m/>
    <s v="R"/>
    <m/>
  </r>
  <r>
    <x v="61"/>
    <n v="0"/>
    <m/>
    <s v="Limited Services Agreement"/>
    <x v="0"/>
    <m/>
    <s v="Limited Services Agreement"/>
    <x v="0"/>
    <s v="Yes"/>
    <x v="0"/>
    <s v="VNA"/>
    <s v="Yes"/>
    <m/>
    <x v="1"/>
    <s v="N/A"/>
    <m/>
    <m/>
    <m/>
    <d v="2023-03-01T00:00:00"/>
    <n v="9"/>
    <d v="2023-12-31T00:00:00"/>
    <n v="-802"/>
    <s v="Yes"/>
    <m/>
    <m/>
    <m/>
    <m/>
    <m/>
    <m/>
    <m/>
    <m/>
    <m/>
    <m/>
    <m/>
    <m/>
    <m/>
    <m/>
    <m/>
    <m/>
    <m/>
    <m/>
    <s v="R"/>
    <m/>
  </r>
  <r>
    <x v="61"/>
    <n v="0"/>
    <s v="Development"/>
    <s v="SOW"/>
    <x v="2"/>
    <m/>
    <s v="Database Upgrade of 19c"/>
    <x v="0"/>
    <m/>
    <x v="2"/>
    <s v="VNA"/>
    <m/>
    <m/>
    <x v="2"/>
    <m/>
    <m/>
    <m/>
    <n v="448"/>
    <d v="2020-03-30T00:00:00"/>
    <s v="ON-GOING"/>
    <s v=""/>
    <s v=""/>
    <m/>
    <m/>
    <s v="-"/>
    <s v="-"/>
    <m/>
    <m/>
    <s v="-"/>
    <m/>
    <s v="-"/>
    <s v="-"/>
    <m/>
    <m/>
    <m/>
    <m/>
    <m/>
    <m/>
    <m/>
    <m/>
    <s v="-"/>
    <s v="G"/>
    <s v="Payment terms are Net 45 days."/>
  </r>
  <r>
    <x v="62"/>
    <n v="0"/>
    <m/>
    <s v="NDA"/>
    <x v="0"/>
    <m/>
    <s v="Non-Disclosure Agreement"/>
    <x v="0"/>
    <m/>
    <x v="5"/>
    <s v="VNA"/>
    <m/>
    <m/>
    <x v="1"/>
    <m/>
    <m/>
    <m/>
    <m/>
    <d v="2023-02-09T00:00:00"/>
    <m/>
    <d v="2023-02-09T00:00:00"/>
    <n v="-1127"/>
    <m/>
    <m/>
    <m/>
    <m/>
    <m/>
    <m/>
    <m/>
    <m/>
    <m/>
    <m/>
    <m/>
    <m/>
    <m/>
    <m/>
    <m/>
    <m/>
    <m/>
    <m/>
    <m/>
    <s v="R"/>
    <m/>
  </r>
  <r>
    <x v="62"/>
    <n v="0"/>
    <m/>
    <s v="SOW"/>
    <x v="2"/>
    <s v="Melissa Schuetter"/>
    <s v="Sanofi-Data Guard Build"/>
    <x v="2"/>
    <m/>
    <x v="5"/>
    <m/>
    <m/>
    <s v="E004775599"/>
    <x v="1"/>
    <m/>
    <m/>
    <m/>
    <m/>
    <m/>
    <m/>
    <d v="1899-12-30T00:00:00"/>
    <n v="-46093"/>
    <m/>
    <m/>
    <m/>
    <m/>
    <m/>
    <m/>
    <m/>
    <m/>
    <m/>
    <m/>
    <m/>
    <m/>
    <m/>
    <m/>
    <m/>
    <m/>
    <m/>
    <m/>
    <m/>
    <s v="R"/>
    <m/>
  </r>
  <r>
    <x v="62"/>
    <n v="0"/>
    <s v="Infrastructure"/>
    <s v="SOW"/>
    <x v="2"/>
    <s v="Melissa Schuetter"/>
    <s v="Sanofi_SOW-InfrastructureAnalysis_20230511"/>
    <x v="0"/>
    <s v="Yes"/>
    <x v="0"/>
    <s v="VNA"/>
    <m/>
    <m/>
    <x v="1"/>
    <s v="Net 90"/>
    <m/>
    <m/>
    <m/>
    <d v="2023-06-01T00:00:00"/>
    <s v="ON-GOING"/>
    <s v=""/>
    <s v=""/>
    <m/>
    <m/>
    <m/>
    <m/>
    <m/>
    <m/>
    <m/>
    <m/>
    <m/>
    <m/>
    <m/>
    <m/>
    <m/>
    <m/>
    <m/>
    <m/>
    <m/>
    <m/>
    <m/>
    <s v="G"/>
    <m/>
  </r>
  <r>
    <x v="63"/>
    <n v="0"/>
    <m/>
    <s v="MSA"/>
    <x v="0"/>
    <m/>
    <s v="Master Services Agreement"/>
    <x v="0"/>
    <m/>
    <x v="0"/>
    <s v="VT"/>
    <m/>
    <m/>
    <x v="0"/>
    <m/>
    <m/>
    <m/>
    <s v="n/a"/>
    <d v="2022-11-01T00:00:00"/>
    <s v="ON-GOING"/>
    <s v=""/>
    <s v=""/>
    <s v="Yes"/>
    <m/>
    <m/>
    <m/>
    <m/>
    <m/>
    <m/>
    <m/>
    <m/>
    <m/>
    <m/>
    <m/>
    <m/>
    <m/>
    <m/>
    <m/>
    <m/>
    <m/>
    <m/>
    <s v="G"/>
    <m/>
  </r>
  <r>
    <x v="63"/>
    <n v="0"/>
    <m/>
    <s v="NDA"/>
    <x v="0"/>
    <m/>
    <s v="Non-Disclosure Agreement"/>
    <x v="0"/>
    <m/>
    <x v="5"/>
    <s v="VT"/>
    <m/>
    <m/>
    <x v="0"/>
    <m/>
    <m/>
    <m/>
    <s v="n/a"/>
    <d v="2022-11-02T00:00:00"/>
    <n v="24"/>
    <d v="2024-11-02T00:00:00"/>
    <n v="-495"/>
    <m/>
    <m/>
    <m/>
    <m/>
    <m/>
    <m/>
    <m/>
    <m/>
    <m/>
    <m/>
    <m/>
    <m/>
    <m/>
    <m/>
    <m/>
    <m/>
    <m/>
    <m/>
    <m/>
    <s v="R"/>
    <m/>
  </r>
  <r>
    <x v="63"/>
    <n v="0"/>
    <s v="Infrastructure"/>
    <s v="SOW"/>
    <x v="1"/>
    <m/>
    <s v="Managed Services"/>
    <x v="0"/>
    <m/>
    <x v="0"/>
    <s v="VT"/>
    <m/>
    <m/>
    <x v="2"/>
    <m/>
    <m/>
    <m/>
    <s v="20 Hrs/Month"/>
    <d v="2022-11-01T00:00:00"/>
    <s v="ON-GOING"/>
    <s v=""/>
    <s v=""/>
    <m/>
    <m/>
    <m/>
    <m/>
    <m/>
    <m/>
    <m/>
    <m/>
    <m/>
    <m/>
    <m/>
    <m/>
    <m/>
    <m/>
    <m/>
    <m/>
    <m/>
    <m/>
    <m/>
    <s v="G"/>
    <m/>
  </r>
  <r>
    <x v="64"/>
    <n v="0"/>
    <s v="Infrastructure"/>
    <s v="SOW"/>
    <x v="1"/>
    <m/>
    <s v="DBA Managed Services"/>
    <x v="1"/>
    <m/>
    <x v="4"/>
    <s v="VNA"/>
    <m/>
    <m/>
    <x v="2"/>
    <m/>
    <m/>
    <m/>
    <m/>
    <d v="2017-04-25T00:00:00"/>
    <s v="ON-GOING"/>
    <s v=""/>
    <s v=""/>
    <m/>
    <m/>
    <s v="-"/>
    <s v="-"/>
    <m/>
    <m/>
    <s v="-"/>
    <m/>
    <s v="-"/>
    <s v="-"/>
    <m/>
    <m/>
    <m/>
    <m/>
    <m/>
    <m/>
    <m/>
    <m/>
    <s v="-"/>
    <s v="G"/>
    <m/>
  </r>
  <r>
    <x v="65"/>
    <n v="0"/>
    <m/>
    <s v="NDA"/>
    <x v="0"/>
    <m/>
    <s v="Non-Disclosure Agreement"/>
    <x v="0"/>
    <m/>
    <x v="0"/>
    <s v="VNA"/>
    <m/>
    <m/>
    <x v="1"/>
    <m/>
    <m/>
    <m/>
    <m/>
    <d v="2019-05-28T00:00:00"/>
    <s v="ON-GOING"/>
    <s v=""/>
    <s v=""/>
    <m/>
    <m/>
    <m/>
    <m/>
    <m/>
    <m/>
    <m/>
    <m/>
    <m/>
    <m/>
    <m/>
    <m/>
    <m/>
    <m/>
    <m/>
    <m/>
    <m/>
    <m/>
    <m/>
    <s v="G"/>
    <m/>
  </r>
  <r>
    <x v="65"/>
    <n v="0"/>
    <m/>
    <s v="MSA"/>
    <x v="0"/>
    <m/>
    <s v="Master Services Agreement"/>
    <x v="1"/>
    <m/>
    <x v="0"/>
    <s v="VNA"/>
    <m/>
    <m/>
    <x v="1"/>
    <m/>
    <m/>
    <m/>
    <m/>
    <m/>
    <m/>
    <d v="1899-12-30T00:00:00"/>
    <n v="-46093"/>
    <m/>
    <m/>
    <m/>
    <m/>
    <m/>
    <m/>
    <m/>
    <m/>
    <m/>
    <m/>
    <m/>
    <m/>
    <m/>
    <m/>
    <m/>
    <m/>
    <m/>
    <m/>
    <m/>
    <s v="R"/>
    <m/>
  </r>
  <r>
    <x v="65"/>
    <n v="0"/>
    <s v="Infrastructure"/>
    <s v="SOW"/>
    <x v="1"/>
    <s v="Leisa Pitner"/>
    <s v="Sherwin Managed Services"/>
    <x v="0"/>
    <m/>
    <x v="0"/>
    <s v="VNA"/>
    <s v="Yes"/>
    <s v="USP00405042"/>
    <x v="2"/>
    <m/>
    <n v="1300"/>
    <m/>
    <n v="10"/>
    <d v="2022-06-01T00:00:00"/>
    <s v="ON-GOING"/>
    <s v=""/>
    <s v=""/>
    <m/>
    <m/>
    <s v="-"/>
    <s v="-"/>
    <m/>
    <m/>
    <s v="-"/>
    <m/>
    <s v="-"/>
    <s v="-"/>
    <m/>
    <m/>
    <m/>
    <m/>
    <m/>
    <m/>
    <m/>
    <m/>
    <s v="-"/>
    <s v="G"/>
    <s v="To Start June 1- Waiting to Confirm PO-remote managed support services to Sherwin Williams specific to all work products implemented during Horizon and Barcode Shipping engagements"/>
  </r>
  <r>
    <x v="66"/>
    <n v="0"/>
    <s v="Infrastructure"/>
    <s v="NDA"/>
    <x v="0"/>
    <m/>
    <s v="SOLIX Mutual NDA-2023.pdf"/>
    <x v="0"/>
    <s v="Yes"/>
    <x v="0"/>
    <s v="VT"/>
    <m/>
    <m/>
    <x v="1"/>
    <m/>
    <m/>
    <m/>
    <s v="NA"/>
    <d v="2023-06-03T00:00:00"/>
    <s v="ON-GOING"/>
    <s v=""/>
    <s v=""/>
    <m/>
    <m/>
    <m/>
    <m/>
    <m/>
    <m/>
    <m/>
    <m/>
    <m/>
    <m/>
    <m/>
    <m/>
    <m/>
    <m/>
    <m/>
    <m/>
    <m/>
    <m/>
    <m/>
    <s v="G"/>
    <m/>
  </r>
  <r>
    <x v="67"/>
    <n v="0"/>
    <m/>
    <s v="NDA"/>
    <x v="0"/>
    <m/>
    <s v="Non-Disclosure Agreement"/>
    <x v="0"/>
    <m/>
    <x v="0"/>
    <s v="VNA"/>
    <m/>
    <m/>
    <x v="1"/>
    <m/>
    <m/>
    <m/>
    <m/>
    <d v="2023-03-17T00:00:00"/>
    <n v="24"/>
    <d v="2025-03-17T00:00:00"/>
    <n v="-360"/>
    <m/>
    <m/>
    <m/>
    <m/>
    <m/>
    <m/>
    <m/>
    <m/>
    <m/>
    <m/>
    <m/>
    <m/>
    <m/>
    <m/>
    <m/>
    <m/>
    <m/>
    <m/>
    <m/>
    <s v="R"/>
    <m/>
  </r>
  <r>
    <x v="68"/>
    <n v="0"/>
    <m/>
    <s v="MSA"/>
    <x v="0"/>
    <m/>
    <s v="Master Services Agreement"/>
    <x v="1"/>
    <m/>
    <x v="0"/>
    <s v="VNA"/>
    <m/>
    <m/>
    <x v="1"/>
    <m/>
    <m/>
    <m/>
    <m/>
    <m/>
    <m/>
    <d v="1899-12-30T00:00:00"/>
    <n v="-46093"/>
    <s v="Yes"/>
    <s v="Certificate Holder"/>
    <m/>
    <m/>
    <m/>
    <m/>
    <m/>
    <m/>
    <m/>
    <m/>
    <m/>
    <m/>
    <m/>
    <m/>
    <m/>
    <m/>
    <m/>
    <m/>
    <m/>
    <s v="R"/>
    <m/>
  </r>
  <r>
    <x v="68"/>
    <n v="0"/>
    <m/>
    <s v="NDA"/>
    <x v="0"/>
    <m/>
    <s v="Non-Disclosure Agreement"/>
    <x v="1"/>
    <m/>
    <x v="5"/>
    <s v="VNA"/>
    <m/>
    <m/>
    <x v="1"/>
    <m/>
    <m/>
    <m/>
    <m/>
    <m/>
    <m/>
    <d v="1899-12-30T00:00:00"/>
    <n v="-46093"/>
    <s v="No"/>
    <m/>
    <m/>
    <m/>
    <m/>
    <m/>
    <m/>
    <m/>
    <m/>
    <m/>
    <m/>
    <m/>
    <m/>
    <m/>
    <m/>
    <m/>
    <m/>
    <m/>
    <m/>
    <s v="R"/>
    <m/>
  </r>
  <r>
    <x v="65"/>
    <n v="0"/>
    <m/>
    <s v="PO"/>
    <x v="8"/>
    <s v="Leisa Pitner"/>
    <s v="USP00831756"/>
    <x v="2"/>
    <m/>
    <x v="5"/>
    <m/>
    <m/>
    <m/>
    <x v="1"/>
    <m/>
    <m/>
    <m/>
    <m/>
    <m/>
    <m/>
    <d v="1899-12-30T00:00:00"/>
    <n v="-46093"/>
    <m/>
    <m/>
    <m/>
    <m/>
    <m/>
    <m/>
    <m/>
    <m/>
    <m/>
    <m/>
    <m/>
    <m/>
    <m/>
    <m/>
    <m/>
    <m/>
    <m/>
    <m/>
    <m/>
    <s v="R"/>
    <m/>
  </r>
  <r>
    <x v="69"/>
    <n v="0"/>
    <m/>
    <s v="MSA"/>
    <x v="0"/>
    <m/>
    <s v="VNA-SMRTL-MSA.docx"/>
    <x v="0"/>
    <s v="Yes"/>
    <x v="0"/>
    <s v="VNA"/>
    <m/>
    <m/>
    <x v="1"/>
    <m/>
    <m/>
    <m/>
    <m/>
    <d v="2023-12-01T00:00:00"/>
    <s v="TBD"/>
    <s v=""/>
    <s v=""/>
    <m/>
    <m/>
    <m/>
    <m/>
    <m/>
    <m/>
    <m/>
    <m/>
    <m/>
    <m/>
    <m/>
    <m/>
    <m/>
    <m/>
    <m/>
    <m/>
    <m/>
    <m/>
    <m/>
    <s v="G"/>
    <m/>
  </r>
  <r>
    <x v="69"/>
    <n v="0"/>
    <m/>
    <s v="SOW"/>
    <x v="2"/>
    <s v="Leisa Pitner"/>
    <s v="VNA-SOW-SMRTL-Phase01.20240110.docx"/>
    <x v="0"/>
    <s v="Yes"/>
    <x v="0"/>
    <s v="VNA"/>
    <m/>
    <m/>
    <x v="1"/>
    <m/>
    <m/>
    <m/>
    <m/>
    <d v="2024-01-17T00:00:00"/>
    <n v="11"/>
    <d v="2024-12-31T00:00:00"/>
    <n v="-436"/>
    <m/>
    <m/>
    <m/>
    <m/>
    <m/>
    <m/>
    <m/>
    <m/>
    <m/>
    <m/>
    <m/>
    <m/>
    <m/>
    <m/>
    <m/>
    <m/>
    <m/>
    <m/>
    <m/>
    <s v="R"/>
    <m/>
  </r>
  <r>
    <x v="69"/>
    <n v="0"/>
    <m/>
    <s v="SOW"/>
    <x v="2"/>
    <s v="Leisa Pitner"/>
    <s v="SMRTL- Assessment"/>
    <x v="2"/>
    <m/>
    <x v="5"/>
    <m/>
    <m/>
    <m/>
    <x v="1"/>
    <m/>
    <m/>
    <m/>
    <m/>
    <m/>
    <m/>
    <d v="1899-12-30T00:00:00"/>
    <n v="-46093"/>
    <m/>
    <m/>
    <m/>
    <m/>
    <m/>
    <m/>
    <m/>
    <m/>
    <m/>
    <m/>
    <m/>
    <m/>
    <m/>
    <m/>
    <m/>
    <m/>
    <m/>
    <m/>
    <m/>
    <s v="R"/>
    <m/>
  </r>
  <r>
    <x v="68"/>
    <n v="0"/>
    <s v="Development"/>
    <s v="SOW"/>
    <x v="1"/>
    <m/>
    <s v="SURGE - Technical Integration"/>
    <x v="1"/>
    <m/>
    <x v="4"/>
    <s v="VNA"/>
    <m/>
    <m/>
    <x v="2"/>
    <m/>
    <m/>
    <m/>
    <m/>
    <m/>
    <m/>
    <d v="1899-12-30T00:00:00"/>
    <n v="-46093"/>
    <m/>
    <m/>
    <s v="-"/>
    <s v="-"/>
    <m/>
    <m/>
    <s v="-"/>
    <m/>
    <s v="-"/>
    <s v="-"/>
    <m/>
    <m/>
    <m/>
    <m/>
    <m/>
    <m/>
    <m/>
    <m/>
    <s v="-"/>
    <s v="R"/>
    <s v="Perform data integration, data loading, design and build custom user interfaces.  Integrate Client’s CMS and LMS solutions across business units including Canada, Australia, and New Zealand"/>
  </r>
  <r>
    <x v="68"/>
    <n v="0"/>
    <m/>
    <s v="SOW"/>
    <x v="1"/>
    <m/>
    <s v="SURGE - Production Support"/>
    <x v="1"/>
    <m/>
    <x v="4"/>
    <s v="VNA"/>
    <m/>
    <m/>
    <x v="2"/>
    <m/>
    <m/>
    <m/>
    <m/>
    <m/>
    <m/>
    <d v="1899-12-30T00:00:00"/>
    <n v="-46093"/>
    <m/>
    <m/>
    <s v="-"/>
    <s v="-"/>
    <m/>
    <m/>
    <s v="-"/>
    <m/>
    <s v="-"/>
    <s v="-"/>
    <m/>
    <m/>
    <m/>
    <m/>
    <m/>
    <m/>
    <m/>
    <m/>
    <s v="-"/>
    <s v="R"/>
    <s v="Supporting the production environment during and after the rollout."/>
  </r>
  <r>
    <x v="68"/>
    <n v="0"/>
    <m/>
    <s v="SOW"/>
    <x v="1"/>
    <m/>
    <s v="SURGE - Project Management"/>
    <x v="1"/>
    <m/>
    <x v="4"/>
    <s v="VNA"/>
    <m/>
    <m/>
    <x v="2"/>
    <m/>
    <m/>
    <m/>
    <m/>
    <m/>
    <m/>
    <d v="1899-12-30T00:00:00"/>
    <n v="-46093"/>
    <m/>
    <m/>
    <s v="-"/>
    <s v="-"/>
    <m/>
    <m/>
    <s v="-"/>
    <m/>
    <s v="-"/>
    <s v="-"/>
    <m/>
    <m/>
    <m/>
    <m/>
    <m/>
    <m/>
    <m/>
    <m/>
    <s v="-"/>
    <s v="R"/>
    <s v="Two project managers to support the rollout of  software and sites"/>
  </r>
  <r>
    <x v="68"/>
    <n v="0"/>
    <m/>
    <s v="SOW"/>
    <x v="1"/>
    <m/>
    <s v="SURGE- Oracle ERP (Financials)"/>
    <x v="1"/>
    <m/>
    <x v="4"/>
    <s v="VNA"/>
    <m/>
    <m/>
    <x v="2"/>
    <m/>
    <m/>
    <m/>
    <m/>
    <m/>
    <m/>
    <d v="1899-12-30T00:00:00"/>
    <n v="-46093"/>
    <m/>
    <m/>
    <s v="-"/>
    <s v="-"/>
    <m/>
    <m/>
    <s v="-"/>
    <m/>
    <s v="-"/>
    <s v="-"/>
    <m/>
    <m/>
    <m/>
    <m/>
    <m/>
    <m/>
    <m/>
    <m/>
    <s v="-"/>
    <s v="R"/>
    <s v="Implement financials, GL, AR, AP, Assets across Canada, Australia, and New Zealand."/>
  </r>
  <r>
    <x v="68"/>
    <n v="0"/>
    <m/>
    <s v="SOW"/>
    <x v="1"/>
    <m/>
    <s v="SURGE  - Oracle EPM"/>
    <x v="1"/>
    <m/>
    <x v="4"/>
    <s v="VNA"/>
    <m/>
    <m/>
    <x v="2"/>
    <m/>
    <m/>
    <m/>
    <m/>
    <m/>
    <m/>
    <d v="1899-12-30T00:00:00"/>
    <n v="-46093"/>
    <m/>
    <m/>
    <s v="-"/>
    <s v="-"/>
    <m/>
    <m/>
    <s v="-"/>
    <m/>
    <s v="-"/>
    <s v="-"/>
    <m/>
    <m/>
    <m/>
    <m/>
    <m/>
    <m/>
    <m/>
    <m/>
    <s v="-"/>
    <s v="R"/>
    <s v="Implement Consolidation and Close, Planning and Budgeting, and Enterprise Performance Reporting solution for STgenetics"/>
  </r>
  <r>
    <x v="70"/>
    <n v="0"/>
    <s v="Development"/>
    <s v="SOW"/>
    <x v="2"/>
    <m/>
    <s v="Transformation  Enhancements"/>
    <x v="1"/>
    <m/>
    <x v="0"/>
    <s v="VNA"/>
    <m/>
    <m/>
    <x v="2"/>
    <m/>
    <m/>
    <m/>
    <n v="405"/>
    <m/>
    <m/>
    <d v="1899-12-30T00:00:00"/>
    <n v="-46093"/>
    <m/>
    <m/>
    <s v="-"/>
    <s v="-"/>
    <m/>
    <m/>
    <s v="-"/>
    <m/>
    <s v="-"/>
    <s v="-"/>
    <m/>
    <m/>
    <m/>
    <m/>
    <m/>
    <m/>
    <m/>
    <m/>
    <s v="-"/>
    <s v="R"/>
    <s v="This SOW will support the enhancement of the Transform Application, supporting Tip Management and Payroll."/>
  </r>
  <r>
    <x v="71"/>
    <n v="0"/>
    <m/>
    <s v="MSA"/>
    <x v="0"/>
    <s v="Sophie Aaron"/>
    <s v="Master Services Agreement"/>
    <x v="0"/>
    <m/>
    <x v="0"/>
    <s v="VT"/>
    <m/>
    <m/>
    <x v="1"/>
    <m/>
    <m/>
    <m/>
    <m/>
    <d v="2019-05-23T00:00:00"/>
    <m/>
    <d v="2019-05-23T00:00:00"/>
    <n v="-2485"/>
    <m/>
    <m/>
    <m/>
    <m/>
    <m/>
    <m/>
    <m/>
    <m/>
    <m/>
    <m/>
    <m/>
    <m/>
    <m/>
    <m/>
    <m/>
    <m/>
    <m/>
    <m/>
    <m/>
    <s v="R"/>
    <m/>
  </r>
  <r>
    <x v="71"/>
    <n v="0"/>
    <m/>
    <s v="SOW"/>
    <x v="1"/>
    <s v="Sophie Aaron"/>
    <s v="Oracle and SQL Server Remote Monitoring and Management"/>
    <x v="0"/>
    <m/>
    <x v="2"/>
    <s v="VT"/>
    <m/>
    <m/>
    <x v="1"/>
    <m/>
    <m/>
    <m/>
    <m/>
    <d v="2021-04-16T00:00:00"/>
    <s v="ON-GOING"/>
    <s v=""/>
    <s v=""/>
    <m/>
    <m/>
    <m/>
    <m/>
    <m/>
    <m/>
    <m/>
    <m/>
    <m/>
    <m/>
    <m/>
    <m/>
    <m/>
    <m/>
    <m/>
    <m/>
    <m/>
    <m/>
    <m/>
    <s v="G"/>
    <s v="The term of this SOW will commence on April 19, 2021 and continue until terminated by Client.  The term of this Agreement is twelve (12) months."/>
  </r>
  <r>
    <x v="72"/>
    <n v="0"/>
    <m/>
    <s v="MSA"/>
    <x v="0"/>
    <m/>
    <s v="Master Services Agreement"/>
    <x v="0"/>
    <m/>
    <x v="1"/>
    <s v="VNA"/>
    <m/>
    <m/>
    <x v="1"/>
    <m/>
    <m/>
    <m/>
    <m/>
    <d v="2017-09-01T00:00:00"/>
    <n v="12"/>
    <d v="2018-09-30T00:00:00"/>
    <n v="-2720"/>
    <m/>
    <m/>
    <m/>
    <m/>
    <m/>
    <m/>
    <m/>
    <m/>
    <m/>
    <m/>
    <m/>
    <m/>
    <m/>
    <m/>
    <m/>
    <m/>
    <m/>
    <m/>
    <m/>
    <s v="R"/>
    <m/>
  </r>
  <r>
    <x v="72"/>
    <n v="0"/>
    <s v="Infrastructure"/>
    <s v="SOW"/>
    <x v="1"/>
    <s v="Charles Kim"/>
    <s v="Database Managed Services"/>
    <x v="0"/>
    <s v="No"/>
    <x v="0"/>
    <s v="VNA"/>
    <m/>
    <m/>
    <x v="2"/>
    <m/>
    <n v="4000"/>
    <m/>
    <m/>
    <d v="2017-09-01T00:00:00"/>
    <n v="36"/>
    <d v="2020-09-30T00:00:00"/>
    <n v="-1989"/>
    <m/>
    <m/>
    <m/>
    <m/>
    <m/>
    <m/>
    <m/>
    <m/>
    <m/>
    <m/>
    <m/>
    <m/>
    <m/>
    <m/>
    <m/>
    <m/>
    <m/>
    <m/>
    <m/>
    <s v="R"/>
    <m/>
  </r>
  <r>
    <x v="73"/>
    <n v="0"/>
    <m/>
    <s v="MSA"/>
    <x v="0"/>
    <m/>
    <s v="Master Services Agreement"/>
    <x v="0"/>
    <m/>
    <x v="0"/>
    <s v="VNA"/>
    <s v="No"/>
    <m/>
    <x v="0"/>
    <m/>
    <m/>
    <m/>
    <m/>
    <d v="2018-09-13T00:00:00"/>
    <s v="ON-GOING"/>
    <s v=""/>
    <s v=""/>
    <m/>
    <m/>
    <m/>
    <m/>
    <m/>
    <m/>
    <m/>
    <m/>
    <m/>
    <m/>
    <m/>
    <m/>
    <m/>
    <m/>
    <m/>
    <m/>
    <m/>
    <m/>
    <m/>
    <s v="G"/>
    <m/>
  </r>
  <r>
    <x v="73"/>
    <n v="0"/>
    <m/>
    <s v="NDA"/>
    <x v="0"/>
    <m/>
    <s v="Non-Disclosure Agreement"/>
    <x v="0"/>
    <s v="No"/>
    <x v="0"/>
    <s v="VNA"/>
    <m/>
    <m/>
    <x v="0"/>
    <m/>
    <m/>
    <m/>
    <m/>
    <d v="2018-09-13T00:00:00"/>
    <n v="12"/>
    <d v="2019-09-13T00:00:00"/>
    <n v="-2372"/>
    <m/>
    <m/>
    <m/>
    <m/>
    <m/>
    <m/>
    <m/>
    <m/>
    <m/>
    <m/>
    <m/>
    <m/>
    <m/>
    <m/>
    <m/>
    <m/>
    <m/>
    <m/>
    <m/>
    <s v="R"/>
    <m/>
  </r>
  <r>
    <x v="70"/>
    <n v="0"/>
    <s v="Development"/>
    <s v="SOW"/>
    <x v="2"/>
    <s v="Beatriz Aguirre"/>
    <s v="Symphony Integration, new environment &amp; Tech stack Update"/>
    <x v="1"/>
    <m/>
    <x v="5"/>
    <m/>
    <m/>
    <m/>
    <x v="1"/>
    <m/>
    <m/>
    <m/>
    <m/>
    <m/>
    <m/>
    <d v="1899-12-30T00:00:00"/>
    <n v="-46093"/>
    <m/>
    <m/>
    <m/>
    <m/>
    <m/>
    <m/>
    <m/>
    <m/>
    <m/>
    <m/>
    <m/>
    <m/>
    <m/>
    <m/>
    <m/>
    <m/>
    <m/>
    <m/>
    <m/>
    <s v="R"/>
    <m/>
  </r>
  <r>
    <x v="71"/>
    <n v="0"/>
    <m/>
    <s v="SOW"/>
    <x v="1"/>
    <s v="Sophie Aaron"/>
    <s v="Transnetyx Managed Services Database Support SOW 2024.docx"/>
    <x v="0"/>
    <s v="Yes"/>
    <x v="0"/>
    <s v="VT"/>
    <m/>
    <m/>
    <x v="1"/>
    <m/>
    <m/>
    <m/>
    <m/>
    <d v="2024-01-09T00:00:00"/>
    <s v="TBD"/>
    <s v=""/>
    <s v=""/>
    <m/>
    <m/>
    <m/>
    <m/>
    <m/>
    <m/>
    <m/>
    <m/>
    <m/>
    <m/>
    <m/>
    <m/>
    <m/>
    <m/>
    <m/>
    <m/>
    <m/>
    <m/>
    <m/>
    <s v="G"/>
    <m/>
  </r>
  <r>
    <x v="74"/>
    <n v="0"/>
    <m/>
    <s v="SOW"/>
    <x v="1"/>
    <s v="Sophie Aaron"/>
    <s v="Transnetyx Managed Services Database Support SOW 2024.docx"/>
    <x v="2"/>
    <m/>
    <x v="2"/>
    <m/>
    <m/>
    <m/>
    <x v="1"/>
    <m/>
    <m/>
    <m/>
    <m/>
    <d v="2023-01-16T00:00:00"/>
    <s v="ON-GOING"/>
    <s v=""/>
    <s v=""/>
    <m/>
    <m/>
    <m/>
    <m/>
    <m/>
    <m/>
    <m/>
    <m/>
    <m/>
    <m/>
    <m/>
    <m/>
    <m/>
    <m/>
    <m/>
    <m/>
    <m/>
    <m/>
    <m/>
    <s v="G"/>
    <m/>
  </r>
  <r>
    <x v="73"/>
    <n v="0"/>
    <s v="Infrastructure"/>
    <s v="SOW"/>
    <x v="1"/>
    <m/>
    <s v="USRC Support"/>
    <x v="0"/>
    <m/>
    <x v="0"/>
    <s v="VNA"/>
    <s v="No"/>
    <m/>
    <x v="2"/>
    <m/>
    <m/>
    <m/>
    <m/>
    <d v="2020-10-01T00:00:00"/>
    <s v="ON-GOING"/>
    <s v=""/>
    <s v=""/>
    <m/>
    <m/>
    <s v="-"/>
    <s v="-"/>
    <m/>
    <m/>
    <s v="-"/>
    <m/>
    <s v="-"/>
    <s v="-"/>
    <m/>
    <m/>
    <m/>
    <m/>
    <m/>
    <m/>
    <m/>
    <m/>
    <s v="-"/>
    <s v="G"/>
    <s v="US renal pre-paid for 100 hrs of work, when they purchased the ODA."/>
  </r>
  <r>
    <x v="75"/>
    <n v="0"/>
    <m/>
    <s v="MSA"/>
    <x v="0"/>
    <m/>
    <s v="Master Services Agreement"/>
    <x v="0"/>
    <m/>
    <x v="0"/>
    <s v="VNA"/>
    <m/>
    <m/>
    <x v="0"/>
    <m/>
    <m/>
    <m/>
    <m/>
    <d v="2018-07-09T00:00:00"/>
    <m/>
    <d v="2018-07-09T00:00:00"/>
    <n v="-2803"/>
    <m/>
    <m/>
    <m/>
    <m/>
    <m/>
    <m/>
    <m/>
    <m/>
    <m/>
    <m/>
    <m/>
    <m/>
    <m/>
    <m/>
    <m/>
    <m/>
    <m/>
    <m/>
    <m/>
    <s v="R"/>
    <m/>
  </r>
  <r>
    <x v="75"/>
    <n v="0"/>
    <m/>
    <s v="NDA"/>
    <x v="0"/>
    <m/>
    <s v="Non-Disclosure Agreement"/>
    <x v="0"/>
    <m/>
    <x v="0"/>
    <s v="VNA"/>
    <m/>
    <s v="n/a"/>
    <x v="0"/>
    <m/>
    <m/>
    <m/>
    <s v="n/a"/>
    <d v="2020-11-21T00:00:00"/>
    <n v="60"/>
    <d v="2025-11-21T00:00:00"/>
    <n v="-111"/>
    <m/>
    <m/>
    <m/>
    <m/>
    <m/>
    <m/>
    <m/>
    <m/>
    <m/>
    <m/>
    <m/>
    <m/>
    <m/>
    <m/>
    <m/>
    <m/>
    <m/>
    <m/>
    <m/>
    <s v="R"/>
    <m/>
  </r>
  <r>
    <x v="75"/>
    <n v="0"/>
    <m/>
    <s v="SOW"/>
    <x v="2"/>
    <m/>
    <s v="Amisys"/>
    <x v="2"/>
    <m/>
    <x v="5"/>
    <m/>
    <m/>
    <m/>
    <x v="1"/>
    <m/>
    <m/>
    <m/>
    <m/>
    <m/>
    <m/>
    <d v="1899-12-30T00:00:00"/>
    <n v="-46093"/>
    <m/>
    <m/>
    <m/>
    <m/>
    <m/>
    <m/>
    <m/>
    <m/>
    <m/>
    <m/>
    <m/>
    <m/>
    <m/>
    <m/>
    <m/>
    <m/>
    <m/>
    <m/>
    <m/>
    <s v="R"/>
    <m/>
  </r>
  <r>
    <x v="75"/>
    <n v="0"/>
    <m/>
    <s v="SOW"/>
    <x v="2"/>
    <m/>
    <s v="Database Upgrades Infra-build"/>
    <x v="2"/>
    <m/>
    <x v="5"/>
    <m/>
    <m/>
    <m/>
    <x v="1"/>
    <m/>
    <m/>
    <m/>
    <m/>
    <m/>
    <m/>
    <d v="1899-12-30T00:00:00"/>
    <n v="-46093"/>
    <m/>
    <m/>
    <m/>
    <m/>
    <m/>
    <m/>
    <m/>
    <m/>
    <m/>
    <m/>
    <m/>
    <m/>
    <m/>
    <m/>
    <m/>
    <m/>
    <m/>
    <m/>
    <m/>
    <s v="R"/>
    <m/>
  </r>
  <r>
    <x v="75"/>
    <n v="0"/>
    <s v="Infrastructure"/>
    <s v="SOW"/>
    <x v="2"/>
    <m/>
    <s v="Oracle Database Performance Tuning"/>
    <x v="0"/>
    <m/>
    <x v="0"/>
    <s v="VNA"/>
    <m/>
    <m/>
    <x v="7"/>
    <m/>
    <m/>
    <m/>
    <m/>
    <d v="2021-07-01T00:00:00"/>
    <s v="ON-GOING"/>
    <s v=""/>
    <s v=""/>
    <m/>
    <m/>
    <s v="-"/>
    <s v="-"/>
    <m/>
    <m/>
    <s v="-"/>
    <m/>
    <s v="-"/>
    <s v="-"/>
    <m/>
    <m/>
    <m/>
    <m/>
    <m/>
    <m/>
    <m/>
    <m/>
    <s v="-"/>
    <s v="G"/>
    <m/>
  </r>
  <r>
    <x v="76"/>
    <n v="0"/>
    <m/>
    <s v="MSA"/>
    <x v="0"/>
    <m/>
    <s v="Master Services Agreement"/>
    <x v="0"/>
    <s v="Yes"/>
    <x v="0"/>
    <s v="VT"/>
    <m/>
    <m/>
    <x v="1"/>
    <s v="Net 45"/>
    <m/>
    <m/>
    <m/>
    <d v="2020-09-01T00:00:00"/>
    <n v="36"/>
    <d v="2023-09-01T00:00:00"/>
    <n v="-923"/>
    <s v="Yes"/>
    <m/>
    <s v="$1M"/>
    <s v="$100K"/>
    <m/>
    <m/>
    <m/>
    <m/>
    <m/>
    <m/>
    <m/>
    <m/>
    <m/>
    <m/>
    <m/>
    <m/>
    <m/>
    <m/>
    <m/>
    <s v="R"/>
    <s v="MSA extends per SOW assigned"/>
  </r>
  <r>
    <x v="77"/>
    <n v="0"/>
    <m/>
    <s v="SOW"/>
    <x v="2"/>
    <m/>
    <s v="Exadata Optimization, Upgrades _x000a_and Patching, Data Center Services, &amp; Technical _x000a_Advisory Services"/>
    <x v="2"/>
    <m/>
    <x v="5"/>
    <m/>
    <m/>
    <m/>
    <x v="1"/>
    <m/>
    <m/>
    <m/>
    <m/>
    <m/>
    <m/>
    <d v="1899-12-30T00:00:00"/>
    <n v="-46093"/>
    <m/>
    <m/>
    <m/>
    <m/>
    <m/>
    <m/>
    <m/>
    <m/>
    <m/>
    <m/>
    <m/>
    <m/>
    <m/>
    <m/>
    <m/>
    <m/>
    <m/>
    <m/>
    <m/>
    <s v="R"/>
    <m/>
  </r>
  <r>
    <x v="76"/>
    <n v="0"/>
    <s v="Infrastructure"/>
    <s v="SOW"/>
    <x v="2"/>
    <m/>
    <s v="WWCT - NVMe Add and ASM Services - 9-15-23.docx"/>
    <x v="0"/>
    <s v="Yes"/>
    <x v="0"/>
    <s v="VT"/>
    <m/>
    <m/>
    <x v="1"/>
    <m/>
    <m/>
    <m/>
    <m/>
    <d v="2023-09-25T00:00:00"/>
    <s v="n/a"/>
    <s v=""/>
    <s v=""/>
    <m/>
    <m/>
    <m/>
    <m/>
    <m/>
    <m/>
    <m/>
    <m/>
    <m/>
    <m/>
    <m/>
    <m/>
    <m/>
    <m/>
    <m/>
    <m/>
    <m/>
    <m/>
    <m/>
    <s v="G"/>
    <m/>
  </r>
  <r>
    <x v="76"/>
    <n v="0"/>
    <s v="Infrastructure"/>
    <s v="SOW"/>
    <x v="1"/>
    <m/>
    <s v="Managed Services"/>
    <x v="0"/>
    <s v="Yes"/>
    <x v="0"/>
    <s v="VT"/>
    <m/>
    <n v="1004340"/>
    <x v="2"/>
    <m/>
    <m/>
    <m/>
    <m/>
    <d v="2023-04-01T00:00:00"/>
    <n v="12"/>
    <d v="2024-04-01T00:00:00"/>
    <n v="-710"/>
    <m/>
    <m/>
    <s v="-"/>
    <s v="-"/>
    <m/>
    <m/>
    <s v="-"/>
    <m/>
    <s v="-"/>
    <s v="-"/>
    <m/>
    <m/>
    <m/>
    <m/>
    <m/>
    <m/>
    <m/>
    <m/>
    <s v="-"/>
    <s v="R"/>
    <m/>
  </r>
  <r>
    <x v="52"/>
    <n v="0"/>
    <s v="Infrastructure"/>
    <s v="Change Order"/>
    <x v="1"/>
    <m/>
    <s v="POPLAR MANAGED SERVICES CHANGE ORDER 5-22-23.docx"/>
    <x v="0"/>
    <s v="Yes"/>
    <x v="0"/>
    <s v="VNA"/>
    <m/>
    <m/>
    <x v="1"/>
    <m/>
    <m/>
    <m/>
    <s v="?"/>
    <d v="2023-05-22T00:00:00"/>
    <s v="?"/>
    <s v=""/>
    <s v=""/>
    <m/>
    <m/>
    <m/>
    <m/>
    <m/>
    <m/>
    <m/>
    <m/>
    <m/>
    <m/>
    <m/>
    <m/>
    <m/>
    <m/>
    <m/>
    <m/>
    <m/>
    <m/>
    <m/>
    <s v="G"/>
    <m/>
  </r>
  <r>
    <x v="78"/>
    <n v="0"/>
    <s v="Infrastructure"/>
    <s v="SOW"/>
    <x v="2"/>
    <s v="Melissa Schuetter"/>
    <s v="SOW.Lamar Trailer.ODA Migration. July 2023 v2.docx"/>
    <x v="0"/>
    <s v="Yes"/>
    <x v="0"/>
    <s v="VNA"/>
    <m/>
    <s v="n/a"/>
    <x v="1"/>
    <m/>
    <m/>
    <m/>
    <s v="Need PO"/>
    <m/>
    <m/>
    <d v="1899-12-30T00:00:00"/>
    <n v="-46093"/>
    <m/>
    <m/>
    <m/>
    <m/>
    <m/>
    <m/>
    <m/>
    <m/>
    <m/>
    <m/>
    <m/>
    <m/>
    <m/>
    <m/>
    <m/>
    <m/>
    <m/>
    <m/>
    <m/>
    <s v="R"/>
    <s v="NEED PO FOR EFFECTIVE DATE"/>
  </r>
  <r>
    <x v="78"/>
    <n v="0"/>
    <m/>
    <s v="MSA"/>
    <x v="0"/>
    <m/>
    <s v="LAMAR TRAILERS.VNA.MSA.2023.docx"/>
    <x v="0"/>
    <s v="Yes"/>
    <x v="0"/>
    <s v="VNA"/>
    <m/>
    <m/>
    <x v="1"/>
    <m/>
    <m/>
    <m/>
    <m/>
    <d v="2023-08-23T00:00:00"/>
    <s v="ON-GOING"/>
    <s v=""/>
    <s v=""/>
    <m/>
    <m/>
    <m/>
    <m/>
    <m/>
    <m/>
    <m/>
    <m/>
    <m/>
    <m/>
    <m/>
    <m/>
    <m/>
    <m/>
    <m/>
    <m/>
    <m/>
    <m/>
    <m/>
    <s v="G"/>
    <m/>
  </r>
  <r>
    <x v="78"/>
    <n v="0"/>
    <m/>
    <s v="NDA"/>
    <x v="0"/>
    <m/>
    <s v="LAMAR TRAILERS.VNA.MNDA.2023.docx"/>
    <x v="0"/>
    <s v="Yes"/>
    <x v="0"/>
    <s v="VNA"/>
    <m/>
    <m/>
    <x v="1"/>
    <m/>
    <m/>
    <m/>
    <m/>
    <d v="2023-08-23T00:00:00"/>
    <n v="24"/>
    <d v="2025-08-23T00:00:00"/>
    <n v="-201"/>
    <m/>
    <m/>
    <m/>
    <m/>
    <m/>
    <m/>
    <m/>
    <m/>
    <m/>
    <m/>
    <m/>
    <m/>
    <m/>
    <m/>
    <m/>
    <m/>
    <m/>
    <m/>
    <m/>
    <s v="R"/>
    <m/>
  </r>
  <r>
    <x v="79"/>
    <n v="0"/>
    <m/>
    <s v="SOW"/>
    <x v="4"/>
    <m/>
    <s v="FULLY SIGNED Viscosity Short Term Remediation Time and Materials SOW"/>
    <x v="0"/>
    <s v="Yes"/>
    <x v="0"/>
    <s v="VNA"/>
    <m/>
    <m/>
    <x v="1"/>
    <m/>
    <m/>
    <m/>
    <n v="1538"/>
    <d v="2023-08-08T00:00:00"/>
    <s v="n/a"/>
    <s v=""/>
    <s v=""/>
    <m/>
    <m/>
    <m/>
    <m/>
    <m/>
    <m/>
    <m/>
    <m/>
    <m/>
    <m/>
    <m/>
    <m/>
    <m/>
    <m/>
    <m/>
    <m/>
    <m/>
    <m/>
    <m/>
    <s v="G"/>
    <m/>
  </r>
  <r>
    <x v="80"/>
    <s v="-"/>
    <m/>
    <m/>
    <x v="4"/>
    <m/>
    <m/>
    <x v="2"/>
    <m/>
    <x v="5"/>
    <m/>
    <m/>
    <m/>
    <x v="1"/>
    <m/>
    <m/>
    <m/>
    <m/>
    <m/>
    <m/>
    <d v="1899-12-30T00:00:00"/>
    <n v="-46093"/>
    <m/>
    <m/>
    <m/>
    <m/>
    <m/>
    <m/>
    <m/>
    <m/>
    <m/>
    <m/>
    <m/>
    <m/>
    <m/>
    <m/>
    <m/>
    <m/>
    <m/>
    <m/>
    <m/>
    <s v="R"/>
    <m/>
  </r>
  <r>
    <x v="80"/>
    <s v="-"/>
    <m/>
    <m/>
    <x v="4"/>
    <m/>
    <m/>
    <x v="2"/>
    <m/>
    <x v="5"/>
    <m/>
    <m/>
    <m/>
    <x v="1"/>
    <m/>
    <m/>
    <m/>
    <m/>
    <m/>
    <m/>
    <d v="1899-12-30T00:00:00"/>
    <n v="-46093"/>
    <m/>
    <m/>
    <m/>
    <m/>
    <m/>
    <m/>
    <m/>
    <m/>
    <m/>
    <m/>
    <m/>
    <m/>
    <m/>
    <m/>
    <m/>
    <m/>
    <m/>
    <m/>
    <m/>
    <s v="R"/>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5:A20" firstHeaderRow="1" firstDataRow="1" firstDataCol="1" rowPageCount="3" colPageCount="1"/>
  <pivotFields count="24">
    <pivotField axis="axisRow" showAll="0" defaultSubtotal="0">
      <items count="88">
        <item sd="0" x="1"/>
        <item x="2"/>
        <item x="3"/>
        <item x="4"/>
        <item sd="0" x="5"/>
        <item m="1" x="85"/>
        <item x="8"/>
        <item x="9"/>
        <item x="11"/>
        <item x="12"/>
        <item x="13"/>
        <item x="14"/>
        <item sd="0" x="15"/>
        <item x="16"/>
        <item x="17"/>
        <item x="18"/>
        <item sd="0" x="19"/>
        <item x="20"/>
        <item x="21"/>
        <item x="22"/>
        <item sd="0" x="23"/>
        <item x="24"/>
        <item x="27"/>
        <item x="28"/>
        <item x="29"/>
        <item x="31"/>
        <item m="1" x="86"/>
        <item x="33"/>
        <item x="34"/>
        <item x="35"/>
        <item x="36"/>
        <item x="37"/>
        <item x="39"/>
        <item x="40"/>
        <item x="41"/>
        <item x="42"/>
        <item x="43"/>
        <item x="44"/>
        <item x="45"/>
        <item x="46"/>
        <item x="48"/>
        <item x="49"/>
        <item x="50"/>
        <item x="51"/>
        <item x="52"/>
        <item x="53"/>
        <item x="54"/>
        <item x="55"/>
        <item x="56"/>
        <item x="57"/>
        <item x="58"/>
        <item x="59"/>
        <item x="60"/>
        <item x="61"/>
        <item m="1" x="87"/>
        <item x="63"/>
        <item x="64"/>
        <item x="65"/>
        <item x="66"/>
        <item x="67"/>
        <item x="68"/>
        <item x="69"/>
        <item x="71"/>
        <item x="72"/>
        <item x="73"/>
        <item x="74"/>
        <item sd="0" x="75"/>
        <item x="76"/>
        <item x="77"/>
        <item x="78"/>
        <item x="79"/>
        <item x="80"/>
        <item x="81"/>
        <item x="82"/>
        <item x="0"/>
        <item sd="0" x="6"/>
        <item x="7"/>
        <item x="10"/>
        <item x="25"/>
        <item x="26"/>
        <item x="30"/>
        <item x="32"/>
        <item x="38"/>
        <item x="47"/>
        <item x="62"/>
        <item x="70"/>
        <item sd="0" x="83"/>
        <item x="84"/>
      </items>
    </pivotField>
    <pivotField showAll="0"/>
    <pivotField showAll="0"/>
    <pivotField showAll="0"/>
    <pivotField axis="axisPage" multipleItemSelectionAllowed="1" showAll="0">
      <items count="13">
        <item h="1" x="6"/>
        <item h="1" x="3"/>
        <item x="2"/>
        <item x="7"/>
        <item h="1" x="1"/>
        <item h="1" x="8"/>
        <item h="1" x="4"/>
        <item h="1" x="10"/>
        <item h="1" x="5"/>
        <item h="1" x="0"/>
        <item h="1" x="9"/>
        <item h="1" x="11"/>
        <item t="default"/>
      </items>
    </pivotField>
    <pivotField showAll="0"/>
    <pivotField axis="axisRow" showAll="0">
      <items count="184">
        <item x="49"/>
        <item x="81"/>
        <item x="67"/>
        <item x="75"/>
        <item x="74"/>
        <item x="3"/>
        <item x="2"/>
        <item x="172"/>
        <item x="79"/>
        <item x="72"/>
        <item x="71"/>
        <item x="29"/>
        <item x="139"/>
        <item x="45"/>
        <item x="73"/>
        <item x="68"/>
        <item x="69"/>
        <item x="115"/>
        <item x="55"/>
        <item x="58"/>
        <item x="60"/>
        <item x="59"/>
        <item x="61"/>
        <item x="62"/>
        <item x="54"/>
        <item x="57"/>
        <item x="46"/>
        <item x="168"/>
        <item x="144"/>
        <item x="173"/>
        <item x="23"/>
        <item x="138"/>
        <item x="65"/>
        <item x="64"/>
        <item x="103"/>
        <item x="43"/>
        <item x="123"/>
        <item x="56"/>
        <item x="126"/>
        <item x="80"/>
        <item x="85"/>
        <item x="87"/>
        <item x="88"/>
        <item x="145"/>
        <item x="90"/>
        <item m="1" x="182"/>
        <item x="95"/>
        <item x="94"/>
        <item x="96"/>
        <item x="97"/>
        <item x="99"/>
        <item x="101"/>
        <item x="112"/>
        <item x="104"/>
        <item x="105"/>
        <item x="51"/>
        <item x="50"/>
        <item x="70"/>
        <item x="82"/>
        <item x="121"/>
        <item x="114"/>
        <item x="91"/>
        <item x="118"/>
        <item x="117"/>
        <item x="149"/>
        <item m="1" x="181"/>
        <item x="63"/>
        <item x="7"/>
        <item x="6"/>
        <item x="20"/>
        <item x="166"/>
        <item x="48"/>
        <item x="102"/>
        <item x="141"/>
        <item x="125"/>
        <item x="171"/>
        <item x="21"/>
        <item x="111"/>
        <item x="78"/>
        <item x="127"/>
        <item x="128"/>
        <item x="130"/>
        <item x="142"/>
        <item x="119"/>
        <item x="38"/>
        <item x="143"/>
        <item x="133"/>
        <item x="147"/>
        <item x="146"/>
        <item x="150"/>
        <item x="132"/>
        <item x="152"/>
        <item x="120"/>
        <item x="36"/>
        <item x="41"/>
        <item x="31"/>
        <item x="107"/>
        <item x="37"/>
        <item x="129"/>
        <item x="47"/>
        <item x="52"/>
        <item x="160"/>
        <item x="157"/>
        <item x="158"/>
        <item x="156"/>
        <item x="159"/>
        <item x="110"/>
        <item x="161"/>
        <item x="163"/>
        <item x="164"/>
        <item x="165"/>
        <item x="151"/>
        <item x="169"/>
        <item x="131"/>
        <item x="22"/>
        <item x="8"/>
        <item x="10"/>
        <item x="11"/>
        <item x="15"/>
        <item x="4"/>
        <item x="5"/>
        <item x="39"/>
        <item x="155"/>
        <item x="176"/>
        <item x="177"/>
        <item x="178"/>
        <item x="124"/>
        <item x="0"/>
        <item x="1"/>
        <item x="9"/>
        <item x="12"/>
        <item x="13"/>
        <item x="14"/>
        <item x="16"/>
        <item x="17"/>
        <item x="18"/>
        <item x="19"/>
        <item x="24"/>
        <item x="25"/>
        <item x="26"/>
        <item x="27"/>
        <item x="28"/>
        <item x="30"/>
        <item x="32"/>
        <item x="33"/>
        <item x="34"/>
        <item x="35"/>
        <item x="40"/>
        <item x="42"/>
        <item x="44"/>
        <item x="53"/>
        <item x="66"/>
        <item x="76"/>
        <item x="77"/>
        <item x="83"/>
        <item x="84"/>
        <item x="86"/>
        <item x="89"/>
        <item x="92"/>
        <item x="93"/>
        <item x="98"/>
        <item x="100"/>
        <item x="106"/>
        <item x="108"/>
        <item x="109"/>
        <item x="113"/>
        <item x="116"/>
        <item x="122"/>
        <item x="134"/>
        <item x="135"/>
        <item x="136"/>
        <item x="137"/>
        <item x="140"/>
        <item x="148"/>
        <item x="153"/>
        <item x="154"/>
        <item x="162"/>
        <item x="167"/>
        <item x="170"/>
        <item x="174"/>
        <item x="175"/>
        <item x="179"/>
        <item x="180"/>
        <item t="default"/>
      </items>
    </pivotField>
    <pivotField showAll="0"/>
    <pivotField showAll="0"/>
    <pivotField showAll="0"/>
    <pivotField axis="axisPage" multipleItemSelectionAllowed="1" showAll="0">
      <items count="7">
        <item h="1" x="3"/>
        <item x="4"/>
        <item x="2"/>
        <item h="1" x="5"/>
        <item x="1"/>
        <item x="0"/>
        <item t="default"/>
      </items>
    </pivotField>
    <pivotField showAll="0"/>
    <pivotField showAll="0"/>
    <pivotField showAll="0"/>
    <pivotField showAll="0"/>
    <pivotField showAll="0"/>
    <pivotField showAll="0"/>
    <pivotField showAll="0"/>
    <pivotField showAll="0"/>
    <pivotField showAll="0"/>
    <pivotField axis="axisRow" showAll="0">
      <items count="75">
        <item x="1"/>
        <item x="49"/>
        <item x="0"/>
        <item x="65"/>
        <item x="61"/>
        <item x="48"/>
        <item x="28"/>
        <item x="38"/>
        <item x="68"/>
        <item x="36"/>
        <item x="37"/>
        <item x="42"/>
        <item x="30"/>
        <item x="39"/>
        <item x="55"/>
        <item x="23"/>
        <item x="32"/>
        <item x="17"/>
        <item x="18"/>
        <item x="57"/>
        <item x="2"/>
        <item x="8"/>
        <item x="54"/>
        <item x="24"/>
        <item x="53"/>
        <item x="13"/>
        <item x="63"/>
        <item x="20"/>
        <item x="21"/>
        <item x="64"/>
        <item x="4"/>
        <item x="50"/>
        <item x="3"/>
        <item x="29"/>
        <item x="58"/>
        <item x="15"/>
        <item x="70"/>
        <item x="10"/>
        <item x="34"/>
        <item x="31"/>
        <item x="33"/>
        <item x="51"/>
        <item x="11"/>
        <item x="35"/>
        <item x="19"/>
        <item x="22"/>
        <item x="6"/>
        <item x="5"/>
        <item x="41"/>
        <item m="1" x="73"/>
        <item x="7"/>
        <item x="25"/>
        <item x="27"/>
        <item x="26"/>
        <item x="9"/>
        <item x="12"/>
        <item x="14"/>
        <item x="16"/>
        <item x="40"/>
        <item x="43"/>
        <item x="44"/>
        <item x="45"/>
        <item x="46"/>
        <item x="47"/>
        <item x="52"/>
        <item x="56"/>
        <item x="59"/>
        <item x="60"/>
        <item x="62"/>
        <item x="66"/>
        <item x="67"/>
        <item x="69"/>
        <item x="71"/>
        <item x="72"/>
        <item t="default"/>
      </items>
    </pivotField>
    <pivotField showAll="0"/>
    <pivotField axis="axisPage" multipleItemSelectionAllowed="1" showAll="0">
      <items count="4">
        <item x="2"/>
        <item h="1" x="1"/>
        <item x="0"/>
        <item t="default"/>
      </items>
    </pivotField>
    <pivotField showAll="0"/>
  </pivotFields>
  <rowFields count="3">
    <field x="0"/>
    <field x="6"/>
    <field x="20"/>
  </rowFields>
  <rowItems count="15">
    <i>
      <x/>
    </i>
    <i>
      <x v="4"/>
    </i>
    <i>
      <x v="12"/>
    </i>
    <i>
      <x v="16"/>
    </i>
    <i>
      <x v="20"/>
    </i>
    <i>
      <x v="30"/>
    </i>
    <i r="1">
      <x v="46"/>
    </i>
    <i r="2">
      <x v="62"/>
    </i>
    <i r="1">
      <x v="47"/>
    </i>
    <i r="2">
      <x v="61"/>
    </i>
    <i r="1">
      <x v="49"/>
    </i>
    <i r="2">
      <x v="5"/>
    </i>
    <i>
      <x v="66"/>
    </i>
    <i>
      <x v="75"/>
    </i>
    <i>
      <x v="86"/>
    </i>
  </rowItems>
  <colItems count="1">
    <i/>
  </colItems>
  <pageFields count="3">
    <pageField fld="4" hier="-1"/>
    <pageField fld="22" hier="-1"/>
    <pageField fld="10"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SoWs" cacheId="8" applyNumberFormats="0" applyBorderFormats="0" applyFontFormats="0" applyPatternFormats="0" applyAlignmentFormats="0" applyWidthHeightFormats="1" dataCaption="Values" grandTotalCaption="Total" updatedVersion="6" minRefreshableVersion="3" useAutoFormatting="1" itemPrintTitles="1" createdVersion="8" indent="0" outline="1" outlineData="1" rowHeaderCaption="Customers" colHeaderCaption="Signed Copy">
  <location ref="A2:D27" firstHeaderRow="1" firstDataRow="2" firstDataCol="1"/>
  <pivotFields count="43">
    <pivotField axis="axisRow" showAll="0">
      <items count="85">
        <item x="0"/>
        <item x="1"/>
        <item x="2"/>
        <item x="3"/>
        <item x="4"/>
        <item x="5"/>
        <item x="6"/>
        <item x="7"/>
        <item x="8"/>
        <item x="9"/>
        <item x="10"/>
        <item x="11"/>
        <item x="12"/>
        <item x="13"/>
        <item x="14"/>
        <item x="15"/>
        <item x="16"/>
        <item x="17"/>
        <item x="19"/>
        <item x="20"/>
        <item x="21"/>
        <item x="22"/>
        <item x="23"/>
        <item x="24"/>
        <item x="25"/>
        <item m="1" x="83"/>
        <item x="28"/>
        <item x="29"/>
        <item x="30"/>
        <item x="31"/>
        <item x="32"/>
        <item x="35"/>
        <item x="36"/>
        <item x="37"/>
        <item x="38"/>
        <item x="40"/>
        <item x="41"/>
        <item x="42"/>
        <item x="43"/>
        <item x="44"/>
        <item x="45"/>
        <item x="46"/>
        <item x="49"/>
        <item x="50"/>
        <item x="51"/>
        <item x="52"/>
        <item x="53"/>
        <item x="54"/>
        <item x="55"/>
        <item x="56"/>
        <item x="57"/>
        <item x="58"/>
        <item m="1" x="82"/>
        <item x="62"/>
        <item x="63"/>
        <item x="64"/>
        <item x="65"/>
        <item x="67"/>
        <item x="68"/>
        <item x="70"/>
        <item x="71"/>
        <item x="72"/>
        <item x="73"/>
        <item x="75"/>
        <item x="76"/>
        <item x="80"/>
        <item x="34"/>
        <item m="1" x="81"/>
        <item x="61"/>
        <item x="18"/>
        <item x="33"/>
        <item x="39"/>
        <item x="47"/>
        <item x="48"/>
        <item x="66"/>
        <item x="78"/>
        <item x="79"/>
        <item x="59"/>
        <item x="60"/>
        <item x="69"/>
        <item x="74"/>
        <item x="77"/>
        <item x="26"/>
        <item x="27"/>
        <item t="default"/>
      </items>
    </pivotField>
    <pivotField showAll="0"/>
    <pivotField showAll="0"/>
    <pivotField showAll="0"/>
    <pivotField showAll="0">
      <items count="12">
        <item h="1" x="0"/>
        <item h="1" x="3"/>
        <item h="1" x="1"/>
        <item x="2"/>
        <item h="1" x="4"/>
        <item h="1" x="6"/>
        <item h="1" x="5"/>
        <item h="1" x="10"/>
        <item h="1" x="8"/>
        <item h="1" x="9"/>
        <item h="1" x="7"/>
        <item t="default"/>
      </items>
    </pivotField>
    <pivotField showAll="0"/>
    <pivotField showAll="0"/>
    <pivotField axis="axisCol" showAll="0">
      <items count="4">
        <item x="1"/>
        <item x="0"/>
        <item x="2"/>
        <item t="default"/>
      </items>
    </pivotField>
    <pivotField showAll="0"/>
    <pivotField dataField="1" showAll="0">
      <items count="8">
        <item x="0"/>
        <item h="1" x="1"/>
        <item h="1" x="2"/>
        <item h="1" m="1" x="6"/>
        <item h="1" x="3"/>
        <item h="1" x="4"/>
        <item h="1"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24">
    <i>
      <x/>
    </i>
    <i>
      <x v="4"/>
    </i>
    <i>
      <x v="15"/>
    </i>
    <i>
      <x v="18"/>
    </i>
    <i>
      <x v="26"/>
    </i>
    <i>
      <x v="27"/>
    </i>
    <i>
      <x v="34"/>
    </i>
    <i>
      <x v="37"/>
    </i>
    <i>
      <x v="40"/>
    </i>
    <i>
      <x v="42"/>
    </i>
    <i>
      <x v="44"/>
    </i>
    <i>
      <x v="50"/>
    </i>
    <i>
      <x v="53"/>
    </i>
    <i>
      <x v="59"/>
    </i>
    <i>
      <x v="63"/>
    </i>
    <i>
      <x v="64"/>
    </i>
    <i>
      <x v="70"/>
    </i>
    <i>
      <x v="71"/>
    </i>
    <i>
      <x v="72"/>
    </i>
    <i>
      <x v="73"/>
    </i>
    <i>
      <x v="75"/>
    </i>
    <i>
      <x v="78"/>
    </i>
    <i>
      <x v="79"/>
    </i>
    <i t="grand">
      <x/>
    </i>
  </rowItems>
  <colFields count="1">
    <field x="7"/>
  </colFields>
  <colItems count="3">
    <i>
      <x/>
    </i>
    <i>
      <x v="1"/>
    </i>
    <i t="grand">
      <x/>
    </i>
  </colItems>
  <dataFields count="1">
    <dataField name="SOW Status Report" fld="9" subtotal="count" baseField="0" baseItem="0"/>
  </dataFields>
  <formats count="4">
    <format dxfId="31">
      <pivotArea outline="0" collapsedLevelsAreSubtotals="1" fieldPosition="0"/>
    </format>
    <format dxfId="30">
      <pivotArea field="4" type="button" dataOnly="0" labelOnly="1" outline="0"/>
    </format>
    <format dxfId="29">
      <pivotArea field="7" type="button" dataOnly="0" labelOnly="1" outline="0" axis="axisCol" fieldPosition="0"/>
    </format>
    <format dxfId="28">
      <pivotArea type="topRight" dataOnly="0" labelOnly="1" outline="0" fieldPosition="0"/>
    </format>
  </formats>
  <pivotTableStyleInfo name="PivotStyleDark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3" cacheId="8"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location ref="A3:C116" firstHeaderRow="0" firstDataRow="1" firstDataCol="1"/>
  <pivotFields count="43">
    <pivotField axis="axisRow" showAll="0">
      <items count="85">
        <item x="0"/>
        <item x="1"/>
        <item x="2"/>
        <item x="3"/>
        <item x="4"/>
        <item x="5"/>
        <item x="6"/>
        <item x="7"/>
        <item x="8"/>
        <item x="9"/>
        <item x="10"/>
        <item x="11"/>
        <item x="12"/>
        <item x="13"/>
        <item x="14"/>
        <item x="15"/>
        <item x="16"/>
        <item x="17"/>
        <item x="19"/>
        <item x="20"/>
        <item x="21"/>
        <item x="22"/>
        <item x="23"/>
        <item x="24"/>
        <item x="25"/>
        <item m="1" x="83"/>
        <item x="28"/>
        <item x="29"/>
        <item x="30"/>
        <item x="31"/>
        <item x="32"/>
        <item x="35"/>
        <item x="36"/>
        <item x="37"/>
        <item x="38"/>
        <item x="40"/>
        <item x="41"/>
        <item x="42"/>
        <item x="43"/>
        <item x="44"/>
        <item x="45"/>
        <item x="46"/>
        <item x="49"/>
        <item x="50"/>
        <item x="51"/>
        <item x="52"/>
        <item x="53"/>
        <item x="54"/>
        <item x="55"/>
        <item x="56"/>
        <item x="57"/>
        <item x="58"/>
        <item m="1" x="82"/>
        <item x="62"/>
        <item x="63"/>
        <item x="64"/>
        <item x="65"/>
        <item x="67"/>
        <item x="68"/>
        <item x="70"/>
        <item x="71"/>
        <item x="72"/>
        <item x="73"/>
        <item x="75"/>
        <item x="76"/>
        <item x="80"/>
        <item x="34"/>
        <item m="1" x="81"/>
        <item x="61"/>
        <item x="18"/>
        <item x="33"/>
        <item x="39"/>
        <item x="47"/>
        <item x="48"/>
        <item x="66"/>
        <item x="78"/>
        <item x="79"/>
        <item x="59"/>
        <item x="60"/>
        <item x="69"/>
        <item x="74"/>
        <item x="77"/>
        <item x="26"/>
        <item x="2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0">
        <item x="0"/>
        <item x="6"/>
        <item x="3"/>
        <item x="4"/>
        <item x="5"/>
        <item x="2"/>
        <item x="8"/>
        <item x="7"/>
        <item h="1" x="1"/>
        <item t="default"/>
      </items>
    </pivotField>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0"/>
    <field x="13"/>
  </rowFields>
  <rowItems count="113">
    <i>
      <x/>
    </i>
    <i r="1">
      <x/>
    </i>
    <i r="1">
      <x v="2"/>
    </i>
    <i r="1">
      <x v="5"/>
    </i>
    <i>
      <x v="1"/>
    </i>
    <i r="1">
      <x/>
    </i>
    <i>
      <x v="2"/>
    </i>
    <i r="1">
      <x v="5"/>
    </i>
    <i>
      <x v="3"/>
    </i>
    <i r="1">
      <x/>
    </i>
    <i r="1">
      <x v="5"/>
    </i>
    <i>
      <x v="4"/>
    </i>
    <i r="1">
      <x v="5"/>
    </i>
    <i>
      <x v="8"/>
    </i>
    <i r="1">
      <x/>
    </i>
    <i>
      <x v="9"/>
    </i>
    <i r="1">
      <x v="5"/>
    </i>
    <i>
      <x v="11"/>
    </i>
    <i r="1">
      <x/>
    </i>
    <i r="1">
      <x v="5"/>
    </i>
    <i>
      <x v="13"/>
    </i>
    <i r="1">
      <x v="5"/>
    </i>
    <i>
      <x v="14"/>
    </i>
    <i r="1">
      <x v="5"/>
    </i>
    <i>
      <x v="16"/>
    </i>
    <i r="1">
      <x/>
    </i>
    <i>
      <x v="17"/>
    </i>
    <i r="1">
      <x v="3"/>
    </i>
    <i r="1">
      <x v="5"/>
    </i>
    <i>
      <x v="18"/>
    </i>
    <i r="1">
      <x v="3"/>
    </i>
    <i r="1">
      <x v="5"/>
    </i>
    <i>
      <x v="19"/>
    </i>
    <i r="1">
      <x v="5"/>
    </i>
    <i>
      <x v="20"/>
    </i>
    <i r="1">
      <x v="3"/>
    </i>
    <i r="1">
      <x v="4"/>
    </i>
    <i>
      <x v="22"/>
    </i>
    <i r="1">
      <x/>
    </i>
    <i r="1">
      <x v="5"/>
    </i>
    <i>
      <x v="24"/>
    </i>
    <i r="1">
      <x v="5"/>
    </i>
    <i>
      <x v="26"/>
    </i>
    <i r="1">
      <x v="5"/>
    </i>
    <i>
      <x v="27"/>
    </i>
    <i r="1">
      <x v="1"/>
    </i>
    <i>
      <x v="28"/>
    </i>
    <i r="1">
      <x/>
    </i>
    <i r="1">
      <x v="1"/>
    </i>
    <i>
      <x v="29"/>
    </i>
    <i r="1">
      <x/>
    </i>
    <i r="1">
      <x v="5"/>
    </i>
    <i>
      <x v="32"/>
    </i>
    <i r="1">
      <x v="5"/>
    </i>
    <i>
      <x v="34"/>
    </i>
    <i r="1">
      <x/>
    </i>
    <i r="1">
      <x v="5"/>
    </i>
    <i>
      <x v="37"/>
    </i>
    <i r="1">
      <x v="5"/>
    </i>
    <i>
      <x v="38"/>
    </i>
    <i r="1">
      <x/>
    </i>
    <i r="1">
      <x v="5"/>
    </i>
    <i r="1">
      <x v="7"/>
    </i>
    <i>
      <x v="39"/>
    </i>
    <i r="1">
      <x/>
    </i>
    <i r="1">
      <x v="5"/>
    </i>
    <i>
      <x v="40"/>
    </i>
    <i r="1">
      <x v="5"/>
    </i>
    <i>
      <x v="41"/>
    </i>
    <i r="1">
      <x v="3"/>
    </i>
    <i>
      <x v="42"/>
    </i>
    <i r="1">
      <x v="3"/>
    </i>
    <i>
      <x v="43"/>
    </i>
    <i r="1">
      <x v="1"/>
    </i>
    <i r="1">
      <x v="3"/>
    </i>
    <i>
      <x v="44"/>
    </i>
    <i r="1">
      <x v="6"/>
    </i>
    <i>
      <x v="45"/>
    </i>
    <i r="1">
      <x v="5"/>
    </i>
    <i>
      <x v="46"/>
    </i>
    <i r="1">
      <x/>
    </i>
    <i r="1">
      <x v="5"/>
    </i>
    <i>
      <x v="49"/>
    </i>
    <i r="1">
      <x v="5"/>
    </i>
    <i>
      <x v="51"/>
    </i>
    <i r="1">
      <x v="5"/>
    </i>
    <i r="1">
      <x v="7"/>
    </i>
    <i>
      <x v="54"/>
    </i>
    <i r="1">
      <x/>
    </i>
    <i r="1">
      <x v="5"/>
    </i>
    <i>
      <x v="55"/>
    </i>
    <i r="1">
      <x v="5"/>
    </i>
    <i>
      <x v="56"/>
    </i>
    <i r="1">
      <x v="5"/>
    </i>
    <i>
      <x v="58"/>
    </i>
    <i r="1">
      <x v="5"/>
    </i>
    <i>
      <x v="59"/>
    </i>
    <i r="1">
      <x v="5"/>
    </i>
    <i>
      <x v="61"/>
    </i>
    <i r="1">
      <x v="5"/>
    </i>
    <i>
      <x v="62"/>
    </i>
    <i r="1">
      <x/>
    </i>
    <i r="1">
      <x v="5"/>
    </i>
    <i>
      <x v="63"/>
    </i>
    <i r="1">
      <x/>
    </i>
    <i r="1">
      <x v="7"/>
    </i>
    <i>
      <x v="64"/>
    </i>
    <i r="1">
      <x v="5"/>
    </i>
    <i>
      <x v="68"/>
    </i>
    <i r="1">
      <x v="5"/>
    </i>
    <i>
      <x v="83"/>
    </i>
    <i r="1">
      <x v="5"/>
    </i>
    <i t="grand">
      <x/>
    </i>
  </rowItems>
  <colFields count="1">
    <field x="-2"/>
  </colFields>
  <colItems count="2">
    <i>
      <x/>
    </i>
    <i i="1">
      <x v="1"/>
    </i>
  </colItems>
  <dataFields count="2">
    <dataField name="Sum of Monthly Budget" fld="15" baseField="0" baseItem="0"/>
    <dataField name="Sum of Total Budget" fld="16" baseField="0" baseItem="0"/>
  </dataFields>
  <formats count="2">
    <format dxfId="27">
      <pivotArea outline="0" collapsedLevelsAreSubtotals="1" fieldPosition="0"/>
    </format>
    <format dxfId="2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Work_Type" sourceName="Work Type">
  <pivotTables>
    <pivotTable tabId="23" name="SoWs"/>
  </pivotTables>
  <data>
    <tabular pivotCacheId="2036015565">
      <items count="11">
        <i x="0"/>
        <i x="5"/>
        <i x="1"/>
        <i x="7"/>
        <i x="2" s="1"/>
        <i x="8"/>
        <i x="9"/>
        <i x="10"/>
        <i x="4"/>
        <i x="3" nd="1"/>
        <i x="6"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Signed_Copy" sourceName="Signed Copy">
  <pivotTables>
    <pivotTable tabId="23" name="SoWs"/>
  </pivotTables>
  <data>
    <tabular pivotCacheId="2036015565">
      <items count="3">
        <i x="1" s="1"/>
        <i x="0" s="1"/>
        <i x="2"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Status" sourceName="Status">
  <pivotTables>
    <pivotTable tabId="23" name="SoWs"/>
  </pivotTables>
  <data>
    <tabular pivotCacheId="2036015565">
      <items count="7">
        <i x="0" s="1"/>
        <i x="1"/>
        <i x="2"/>
        <i x="3"/>
        <i x="4"/>
        <i x="6" nd="1"/>
        <i x="5"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Work Type" cache="Slicer_Work_Type" caption="Work Type" startItem="3" style="SlicerStyleOther2" rowHeight="234950"/>
  <slicer name="Signed Copy" cache="Slicer_Signed_Copy" caption="Signed Copy" style="SlicerStyleOther2" rowHeight="234950"/>
  <slicer name="Status" cache="Slicer_Status" caption="Status" style="SlicerStyleOther2" rowHeight="234950"/>
</slicers>
</file>

<file path=xl/tables/table1.xml><?xml version="1.0" encoding="utf-8"?>
<table xmlns="http://schemas.openxmlformats.org/spreadsheetml/2006/main" id="4" name="AGREEMENTS" displayName="AGREEMENTS" ref="B2:AM120" totalsRowShown="0" headerRowDxfId="171" dataDxfId="169" headerRowBorderDxfId="170">
  <autoFilter ref="B2:AM120"/>
  <sortState ref="B3:AM120">
    <sortCondition ref="B2:B120"/>
  </sortState>
  <tableColumns count="38">
    <tableColumn id="1" name="Client" dataDxfId="168"/>
    <tableColumn id="2" name="Contact" dataDxfId="167">
      <calculatedColumnFormula>IFERROR(VLOOKUP(B3,'QB Consolidated Contacts'!$A$1:$F$333,6),"-")</calculatedColumnFormula>
    </tableColumn>
    <tableColumn id="20" name="Line of Business " dataDxfId="166"/>
    <tableColumn id="30" name="Business" dataDxfId="165" dataCellStyle="Hyperlink"/>
    <tableColumn id="3" name="Contract Type" dataDxfId="164"/>
    <tableColumn id="22" name="Work Type" dataDxfId="163"/>
    <tableColumn id="39" name="Date Signed" dataDxfId="162"/>
    <tableColumn id="4" name="Description" dataDxfId="161"/>
    <tableColumn id="31" name="Signed Copy" dataDxfId="160" dataCellStyle="Hyperlink"/>
    <tableColumn id="42" name="DocuSign" dataDxfId="159" dataCellStyle="Hyperlink"/>
    <tableColumn id="6" name="Effective Date" dataDxfId="158"/>
    <tableColumn id="7" name="Duration (Months)" dataDxfId="157"/>
    <tableColumn id="8" name="Expiration Date" dataDxfId="156">
      <calculatedColumnFormula>IFERROR(EDATE(L3,M3),"")</calculatedColumnFormula>
    </tableColumn>
    <tableColumn id="9" name="Days to Contract End" dataDxfId="155">
      <calculatedColumnFormula>IFERROR(N3-TODAY(),"")</calculatedColumnFormula>
    </tableColumn>
    <tableColumn id="24" name="General Liability Insurance" dataDxfId="154"/>
    <tableColumn id="29" name="COI Requirement" dataDxfId="153"/>
    <tableColumn id="11" name="GL Aggregate Limits" dataDxfId="152"/>
    <tableColumn id="15" name="GL per Occurrence" dataDxfId="151"/>
    <tableColumn id="23" name="Workers Compensation" dataDxfId="150"/>
    <tableColumn id="17" name="Employers Liability " dataDxfId="149"/>
    <tableColumn id="14" name="Umbrella Aggregate" dataDxfId="148"/>
    <tableColumn id="25" name="Umbrella per Occurrence" dataDxfId="147"/>
    <tableColumn id="10" name="Cyber Aggregate" dataDxfId="146"/>
    <tableColumn id="19" name="Cyber per Occurrence" dataDxfId="145"/>
    <tableColumn id="28" name="Professional Liability (E&amp;O)" dataDxfId="144"/>
    <tableColumn id="27" name="Property in Transit" dataDxfId="143"/>
    <tableColumn id="26" name="Employee Theft of Client Property" dataDxfId="142"/>
    <tableColumn id="33" name="Products/Completed Operations" dataDxfId="141"/>
    <tableColumn id="32" name="Personal &amp; Advertising Injury" dataDxfId="140"/>
    <tableColumn id="16" name="Bodily Injury/Property Damage" dataDxfId="139"/>
    <tableColumn id="35" name="Fire Legal Liability Injury" dataDxfId="138"/>
    <tableColumn id="34" name="Medical Payments" dataDxfId="137"/>
    <tableColumn id="36" name="Auto Insurance Combined Single Limit (Hired)" dataDxfId="136"/>
    <tableColumn id="5" name="Auto Insurance Combined Single Limit (Non-owned)" dataDxfId="135"/>
    <tableColumn id="21" name="Auto Insurance Combined Single Limit (Owned)" dataDxfId="134"/>
    <tableColumn id="12" name="R.A.G. Status" dataDxfId="133">
      <calculatedColumnFormula>IF(AGREEMENTS[[#This Row],[Days to Contract End]]&lt;=90,"R",IF(AND(AGREEMENTS[[#This Row],[Days to Contract End]]&lt;180),"A","G"))</calculatedColumnFormula>
    </tableColumn>
    <tableColumn id="13" name="Notes" dataDxfId="132"/>
    <tableColumn id="18" name="Path" dataDxfId="131"/>
  </tableColumns>
  <tableStyleInfo name="TableStyleMedium16" showFirstColumn="0" showLastColumn="0" showRowStripes="1" showColumnStripes="0"/>
</table>
</file>

<file path=xl/tables/table2.xml><?xml version="1.0" encoding="utf-8"?>
<table xmlns="http://schemas.openxmlformats.org/spreadsheetml/2006/main" id="7" name="Table7" displayName="Table7" ref="A2:F14" totalsRowShown="0" headerRowDxfId="130">
  <autoFilter ref="A2:F14"/>
  <tableColumns count="6">
    <tableColumn id="1" name="Company Name"/>
    <tableColumn id="2" name="Referral or Resell"/>
    <tableColumn id="3" name="Initial Contact Date"/>
    <tableColumn id="4" name="Last Engagement Date"/>
    <tableColumn id="6" name="Agreement"/>
    <tableColumn id="7" name="Notes"/>
  </tableColumns>
  <tableStyleInfo name="TableStyleMedium2" showFirstColumn="0" showLastColumn="0" showRowStripes="1" showColumnStripes="0"/>
</table>
</file>

<file path=xl/tables/table3.xml><?xml version="1.0" encoding="utf-8"?>
<table xmlns="http://schemas.openxmlformats.org/spreadsheetml/2006/main" id="5" name="SOWS" displayName="SOWS" ref="B2:Y202" totalsRowShown="0" headerRowDxfId="123" dataDxfId="121" headerRowBorderDxfId="122">
  <autoFilter ref="B2:Y202"/>
  <tableColumns count="24">
    <tableColumn id="30" name="Company" dataDxfId="120" dataCellStyle="Hyperlink"/>
    <tableColumn id="1" name="Client" dataDxfId="119"/>
    <tableColumn id="20" name="Business Line " dataDxfId="118"/>
    <tableColumn id="3" name="Contract Type" dataDxfId="117"/>
    <tableColumn id="22" name="Work Type" dataDxfId="116"/>
    <tableColumn id="10" name="Date Signed" dataDxfId="115"/>
    <tableColumn id="6" name="Effective Date" dataDxfId="114"/>
    <tableColumn id="4" name="Contract Name/Document Link" dataDxfId="113"/>
    <tableColumn id="2" name="Project Contact" dataDxfId="112" dataCellStyle="Hyperlink">
      <calculatedColumnFormula>IFERROR(VLOOKUP(Agreements!B112,'QB Consolidated Contacts'!$A$1:$F$333,6),"-")</calculatedColumnFormula>
    </tableColumn>
    <tableColumn id="31" name="Signed Copy" dataDxfId="111" dataCellStyle="Hyperlink"/>
    <tableColumn id="42" name="DocuSign" dataDxfId="110" dataCellStyle="Hyperlink"/>
    <tableColumn id="37" name="Status" dataDxfId="109" dataCellStyle="Hyperlink"/>
    <tableColumn id="40" name="Requires PO" dataDxfId="108" dataCellStyle="Hyperlink"/>
    <tableColumn id="18" name="PO #" dataDxfId="107" dataCellStyle="Hyperlink"/>
    <tableColumn id="5" name="Cycle" dataDxfId="106" dataCellStyle="Hyperlink"/>
    <tableColumn id="41" name="Payment Terms" dataDxfId="105" dataCellStyle="Hyperlink"/>
    <tableColumn id="39" name="Monthly Budget" dataDxfId="104" dataCellStyle="Hyperlink"/>
    <tableColumn id="38" name="Total Budget" dataDxfId="103" dataCellStyle="Hyperlink"/>
    <tableColumn id="16" name="Block Of Hours" dataDxfId="102" dataCellStyle="Hyperlink"/>
    <tableColumn id="7" name="Duration (Months)" dataDxfId="101"/>
    <tableColumn id="8" name="Expiration Date" dataDxfId="100">
      <calculatedColumnFormula>IFERROR(EDATE(Agreements!T112,Agreements!U112),"")</calculatedColumnFormula>
    </tableColumn>
    <tableColumn id="9" name="Days to Contract End" dataDxfId="99">
      <calculatedColumnFormula>IFERROR(Agreements!V112-TODAY(),"")</calculatedColumnFormula>
    </tableColumn>
    <tableColumn id="12" name="R.A.G. Status" dataDxfId="98">
      <calculatedColumnFormula>IF(SOWS[[#This Row],[Days to Contract End]]&lt;=90,"R",IF(AND(SOWS[[#This Row],[Days to Contract End]]&lt;180),"A","G"))</calculatedColumnFormula>
    </tableColumn>
    <tableColumn id="13" name="Discription of Project" dataDxfId="97"/>
  </tableColumns>
  <tableStyleInfo name="TableStyleMedium6" showFirstColumn="0" showLastColumn="0" showRowStripes="1" showColumnStripes="0"/>
</table>
</file>

<file path=xl/tables/table4.xml><?xml version="1.0" encoding="utf-8"?>
<table xmlns="http://schemas.openxmlformats.org/spreadsheetml/2006/main" id="6" name="Table6" displayName="Table6" ref="B2:I13" totalsRowShown="0" headerRowDxfId="96" dataDxfId="94" headerRowBorderDxfId="95" tableBorderDxfId="93">
  <autoFilter ref="B2:I13"/>
  <sortState ref="B3:I13">
    <sortCondition ref="E2:E13"/>
  </sortState>
  <tableColumns count="8">
    <tableColumn id="2" name="Business" dataDxfId="92" dataCellStyle="Hyperlink"/>
    <tableColumn id="1" name="Client " dataDxfId="91"/>
    <tableColumn id="19" name="Product " dataDxfId="90"/>
    <tableColumn id="7" name="Contract Name" dataDxfId="89" dataCellStyle="Hyperlink"/>
    <tableColumn id="9" name="Signed Copy" dataDxfId="88" dataCellStyle="Hyperlink"/>
    <tableColumn id="11" name="Status" dataDxfId="87" dataCellStyle="Hyperlink"/>
    <tableColumn id="12" name="Requires PO" dataDxfId="86" dataCellStyle="Hyperlink"/>
    <tableColumn id="18" name="Notes" dataDxfId="85"/>
  </tableColumns>
  <tableStyleInfo name="TableStyleMedium20" showFirstColumn="0" showLastColumn="0" showRowStripes="1" showColumnStripes="0"/>
</table>
</file>

<file path=xl/tables/table5.xml><?xml version="1.0" encoding="utf-8"?>
<table xmlns="http://schemas.openxmlformats.org/spreadsheetml/2006/main" id="1" name="ALL_02FEB2024" displayName="ALL_02FEB2024" ref="B2:AR217" totalsRowShown="0" headerRowDxfId="77" dataDxfId="75" headerRowBorderDxfId="76">
  <autoFilter ref="B2:AR217"/>
  <tableColumns count="43">
    <tableColumn id="1" name="Client" dataDxfId="74"/>
    <tableColumn id="2" name="Contact" dataDxfId="73">
      <calculatedColumnFormula>IFERROR(VLOOKUP(B3,'QB Consolidated Contacts'!$A$1:$F$333,6),"-")</calculatedColumnFormula>
    </tableColumn>
    <tableColumn id="20" name="Line of Business " dataDxfId="72"/>
    <tableColumn id="3" name="Contract Type" dataDxfId="71"/>
    <tableColumn id="22" name="Work Type" dataDxfId="70"/>
    <tableColumn id="44" name="Project Manager" dataDxfId="69"/>
    <tableColumn id="4" name="Description" dataDxfId="68"/>
    <tableColumn id="31" name="Signed Copy" dataDxfId="67" dataCellStyle="Hyperlink"/>
    <tableColumn id="42" name="DocuSign" dataDxfId="66" dataCellStyle="Hyperlink"/>
    <tableColumn id="37" name="Status" dataDxfId="65" dataCellStyle="Hyperlink"/>
    <tableColumn id="30" name="Business" dataDxfId="64" dataCellStyle="Hyperlink"/>
    <tableColumn id="40" name="Requires PO" dataDxfId="63" dataCellStyle="Hyperlink"/>
    <tableColumn id="18" name="PO #" dataDxfId="62" dataCellStyle="Hyperlink"/>
    <tableColumn id="5" name="Cycle" dataDxfId="61" dataCellStyle="Hyperlink"/>
    <tableColumn id="41" name="Payment Terms" dataDxfId="60" dataCellStyle="Hyperlink"/>
    <tableColumn id="39" name="Monthly Budget" dataDxfId="59" dataCellStyle="Hyperlink"/>
    <tableColumn id="38" name="Total Budget" dataDxfId="58" dataCellStyle="Hyperlink"/>
    <tableColumn id="16" name="Block Of Hours" dataDxfId="57" dataCellStyle="Hyperlink"/>
    <tableColumn id="6" name="Effective Date" dataDxfId="56"/>
    <tableColumn id="7" name="Duration (Months)" dataDxfId="55"/>
    <tableColumn id="8" name="Expiration Date" dataDxfId="54">
      <calculatedColumnFormula>IFERROR(EDATE(T3,U3),"")</calculatedColumnFormula>
    </tableColumn>
    <tableColumn id="9" name="Days to Contract End" dataDxfId="53">
      <calculatedColumnFormula>IFERROR(V3-TODAY(),"")</calculatedColumnFormula>
    </tableColumn>
    <tableColumn id="24" name="General Liability Insurance" dataDxfId="52"/>
    <tableColumn id="29" name="COI Requirement" dataDxfId="51"/>
    <tableColumn id="11" name="GL Aggregate Limits" dataDxfId="50"/>
    <tableColumn id="15" name="GL per Occurrence" dataDxfId="49"/>
    <tableColumn id="23" name="Workers Compensation" dataDxfId="48"/>
    <tableColumn id="17" name="Employers Liability " dataDxfId="47"/>
    <tableColumn id="14" name="Umbrella Aggregate" dataDxfId="46"/>
    <tableColumn id="25" name="Umbrella per Occurrence" dataDxfId="45"/>
    <tableColumn id="10" name="Cyber Aggregate" dataDxfId="44"/>
    <tableColumn id="19" name="Cyber per Occurrence" dataDxfId="43"/>
    <tableColumn id="28" name="Professional Liability (E&amp;O)" dataDxfId="42"/>
    <tableColumn id="27" name="Property in Transit" dataDxfId="41"/>
    <tableColumn id="26" name="Employee Theft of Client Property" dataDxfId="40"/>
    <tableColumn id="33" name="Products/Completed Operations" dataDxfId="39"/>
    <tableColumn id="32" name="Personal &amp; Advertising Injury" dataDxfId="38"/>
    <tableColumn id="35" name="Fire Legal Liability Injury" dataDxfId="37"/>
    <tableColumn id="34" name="Medical Payments" dataDxfId="36"/>
    <tableColumn id="36" name="Auto Insurance Combined Single Limit" dataDxfId="35"/>
    <tableColumn id="21" name="Auto Insurance per Occurrence2" dataDxfId="34"/>
    <tableColumn id="12" name="R.A.G. Status" dataDxfId="33">
      <calculatedColumnFormula>IF(ALL_02FEB2024[[#This Row],[Days to Contract End]]&lt;=90,"R",IF(AND(ALL_02FEB2024[[#This Row],[Days to Contract End]]&lt;180),"A","G"))</calculatedColumnFormula>
    </tableColumn>
    <tableColumn id="13" name="Notes" dataDxfId="32"/>
  </tableColumns>
  <tableStyleInfo name="TableStyleMedium2" showFirstColumn="0" showLastColumn="0" showRowStripes="1" showColumnStripes="0"/>
</table>
</file>

<file path=xl/tables/table6.xml><?xml version="1.0" encoding="utf-8"?>
<table xmlns="http://schemas.openxmlformats.org/spreadsheetml/2006/main" id="3" name="ST_OPEN" displayName="ST_OPEN" ref="A1:H401" totalsRowShown="0">
  <autoFilter ref="A1:H401">
    <filterColumn colId="7">
      <filters>
        <filter val="Open"/>
      </filters>
    </filterColumn>
  </autoFilter>
  <tableColumns count="8">
    <tableColumn id="1" name="Client"/>
    <tableColumn id="2" name="Project Name"/>
    <tableColumn id="3" name="Description"/>
    <tableColumn id="4" name="Budget Cost"/>
    <tableColumn id="5" name="Budget Hours"/>
    <tableColumn id="6" name="Notes"/>
    <tableColumn id="7" name="Project Cycle"/>
    <tableColumn id="8" name="Status"/>
  </tableColumns>
  <tableStyleInfo showFirstColumn="1" showLastColumn="1" showRowStripes="0" showColumnStripes="0"/>
</table>
</file>

<file path=xl/tables/table7.xml><?xml version="1.0" encoding="utf-8"?>
<table xmlns="http://schemas.openxmlformats.org/spreadsheetml/2006/main" id="2" name="Table2" displayName="Table2" ref="A1:N298" totalsRowShown="0" headerRowDxfId="18">
  <autoFilter ref="A1:N298"/>
  <tableColumns count="14">
    <tableColumn id="1" name="Client" dataDxfId="17"/>
    <tableColumn id="15" name="Column1"/>
    <tableColumn id="2" name="Phone Numbers" dataDxfId="16"/>
    <tableColumn id="3" name="Email" dataDxfId="15"/>
    <tableColumn id="4" name="Full Name" dataDxfId="14"/>
    <tableColumn id="5" name="Billing Address" dataDxfId="13"/>
    <tableColumn id="6" name="Shipping Address" dataDxfId="12"/>
    <tableColumn id="12" name="Contract Type" dataDxfId="11"/>
    <tableColumn id="13" name="Short Description" dataDxfId="10"/>
    <tableColumn id="7" name="Effective" dataDxfId="9"/>
    <tableColumn id="8" name="Duration (Months)"/>
    <tableColumn id="9" name="Expiration" dataDxfId="8">
      <calculatedColumnFormula>IFERROR(EDATE(J2,K2),"-")</calculatedColumnFormula>
    </tableColumn>
    <tableColumn id="10" name="Days to Contract End" dataDxfId="7">
      <calculatedColumnFormula>Table2[[#This Row],[Expiration]]-TODAY()</calculatedColumnFormula>
    </tableColumn>
    <tableColumn id="14" name="Status" dataDxfId="6"/>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R3" personId="{EC908863-CFDD-4FE0-8978-8958247FAF3D}" id="{1E77C63B-E871-49C1-96E2-71E72FF803A9}">
    <text>ABC - At all times while performing work hereunder, Consultant shall maintain general liability insurance in 
amounts not less than $1,000,000 per occurrence and automobile insurance with minimum limits of 
$100,000 per occurrence, combined single limit</text>
  </threadedComment>
  <threadedComment ref="R5" personId="{EC908863-CFDD-4FE0-8978-8958247FAF3D}" id="{299AA7BA-4258-4B82-AB42-DAEDEDBC7BD4}">
    <text>ACGI - At all times while performing work hereunder, Consultant shall maintain general liability insurance in amounts not less than $1,000,000 per occurrence and automobile insurance with minimum limits of $100,000 per occurrence, combined single limit.</text>
  </threadedComment>
  <threadedComment ref="R7" dT="2022-09-14T00:18:08.85" personId="{EC908863-CFDD-4FE0-8978-8958247FAF3D}" id="{03053243-C81A-46E4-8D48-E430BA70ADF7}">
    <text>Commercial General Liability $1 million each occurrence/$2 million aggregate
(Including Products/Completed 
Operations)</text>
  </threadedComment>
  <threadedComment ref="S7" dT="2022-09-19T18:25:05.13" personId="{EC908863-CFDD-4FE0-8978-8958247FAF3D}" id="{3BD9874B-9B76-4C04-BBEF-7B4618127C6A}">
    <text>Worker’s Compensation Statutory Limits
Employers Liability $1 million each occurrence
Professional Liability/Errors $1 million each occurrence
and Omissions</text>
  </threadedComment>
  <threadedComment ref="X7" dT="2022-09-19T18:26:05.14" personId="{EC908863-CFDD-4FE0-8978-8958247FAF3D}" id="{26F1F17F-C79F-4903-98F3-7B96644317DC}">
    <text>Cyber Liability* $1 million each occurrence
*Should Provider collect credit card data while providing goods and services for AHA, then the cyber liability 
amount shall be based on the following:
No. of records/transactions 
anticipated annually Amount
Up to 250,000 $3 million
250,000—500,000 $4 million
500,000---750,000 $5 million
750,000—1 million $6 million</text>
  </threadedComment>
  <threadedComment ref="AJ7" dT="2022-09-19T18:27:38.42" personId="{EC908863-CFDD-4FE0-8978-8958247FAF3D}" id="{A101A5FE-30AB-4CEB-83A8-5325EE80FF81}">
    <text>Automobile Policy $1 million each occurrence</text>
  </threadedComment>
  <threadedComment ref="T14" dT="2022-09-27T18:43:07.14" personId="{EC908863-CFDD-4FE0-8978-8958247FAF3D}" id="{AC6F57B3-C99A-44A5-B450-C3A078A95F1A}">
    <text>Workers’ Compensation coverage is required for all Supplier employees working onsite at BMW MC. The policy must include coverage for work performed in the State of South Carolina. Supplier will ensure that all employees working at BMW MC are covered by a Workers’ Compensation policy recognized by, and providing coverage in, the State of South Carolina.</text>
  </threadedComment>
  <threadedComment ref="AJ14" dT="2022-09-27T18:42:34.82" personId="{EC908863-CFDD-4FE0-8978-8958247FAF3D}" id="{C59C34D2-0D89-49C0-AF69-66C6CF13AB80}">
    <text>Auto Liability $1,000,000.00
(combined single limit per accident,
with “any auto” designation,
covering all vehicles operated by Supplier)</text>
  </threadedComment>
  <threadedComment ref="R18" dT="2022-09-30T15:38:20.68" personId="{EC908863-CFDD-4FE0-8978-8958247FAF3D}" id="{46EA202B-A205-4E7C-84FC-F8ACDE7B1AF9}">
    <text>Item 11 -  B-8  INSURANCE, INDEMNIFICATION, AND LIABILITY
Seller assumes the following risks: (1) all risks of loss of damage to all  goods, deliverables, work in process, materials, and other things until the acceptance thereof as herein provided;  (2) all risks of loss or damage to third persons and their property until the acceptance of all the  goods or deliverables as herein provided; (3) all risks of loss or damage to any property received by Seller from or held by Seller or its supplier for the account of Buyer, until such property has been accepted by Buyer or its customer, as the case may be; and (4) all risks of  loss or damage to any of the  goods, deliverables or part thereof rejected by Buyer, from the time of shipment thereof to Seller until redelivery thereof  to Buyer.
Seller shall maintain insurance in at least the following amounts: (a) Commercial General Liability with the following minimum limits and endorsements: $1,000,000 Limit Per Occurrence,  $1,000,000 Personal and Advertising Injury, $1,000,000 Products/Completed Operations,  $2,000,000 General Aggregate Limit, $300,000 Fire Legal Liability, $10,000 Medical Payments; (b) Automobile Insurance: $1,000,000 combined single limit per accident for bodily injury and property damage. Auto Liability coverage must be provided on a hired and non-owned basis if there are no company owned or leased vehicles; (c) Standard Workmen’s Compensation and Employer’s Liability Insurance: in the minimum amount of $500,000 or such greater amount as may be proper under applicable state or federal statutes.  Buyer may request certificates of such insurance prior to commencement of work.  Upon Seller’s failure thereof, CACI may obtain, at Seller’s expense, the insurance coverage required for such compliance.  Seller also agrees to provide insurance for all CACI property in Seller’s possession against loss or damage resulting from fire or theft, including extended coverage, malicious mischief and vandalism.  CACI shall be given at least thirty (30) days advance written notice where possible of cancellation of any such insurance.</text>
  </threadedComment>
  <threadedComment ref="T27" dT="2022-09-28T13:56:00.52" personId="{EC908863-CFDD-4FE0-8978-8958247FAF3D}" id="{2843D04C-81FE-4229-B196-F7490CC994A8}">
    <text>Each Accident</text>
  </threadedComment>
  <threadedComment ref="AJ27" dT="2022-09-28T13:53:41.07" personId="{EC908863-CFDD-4FE0-8978-8958247FAF3D}" id="{992302D1-5B10-4340-A988-2CD4347DEF4C}">
    <text>Combined Single Limit</text>
  </threadedComment>
  <threadedComment ref="P33" dT="2022-09-28T15:34:40.70" personId="{EC908863-CFDD-4FE0-8978-8958247FAF3D}" id="{1E509773-086D-4719-9E92-9388C67E9CBA}">
    <text>ARTICLE 13 - INSURANCE
At all times while performing work hereunder, Consultant shall maintain general liability insurance in amounts not 
less than $1,000,000 per occurrence and automobile insurance with minimum limits of $100,000 per occurrence, 
combined single limit.</text>
  </threadedComment>
  <threadedComment ref="M68" dT="2023-03-31T16:30:25.21" personId="{EC908863-CFDD-4FE0-8978-8958247FAF3D}" id="{A7AC155B-D984-4501-B732-DDFA4A54E9CB}">
    <text xml:space="preserve">Survival. Sections 2.2, Error! Reference source not found. through 19, 20.5, and 21 through 26 will survive any termination of this Agreement. </text>
  </threadedComment>
  <threadedComment ref="M69" dT="2023-03-31T16:27:13.38" personId="{EC908863-CFDD-4FE0-8978-8958247FAF3D}" id="{5F3CFF78-4268-4F22-B48F-08F96F19DDEC}">
    <text xml:space="preserve">Term. This Agreement shall terminate on the earlier of receipt of written notice to that effect by one party from the other in accordance with Section 5, mutual agreement of the parties or entry into a definitive agreement related to the Relationship that contains a non-disclosure provision. Each party’s obligations under this Agreement with respect to the other party’s Confidential Information shall continue in effect for the greater of two years from the termination effective date of this Agreement or the maximum period of time permitted by law. </text>
  </threadedComment>
  <threadedComment ref="L71" dT="2024-07-01T19:23:25.56" personId="{EC908863-CFDD-4FE0-8978-8958247FAF3D}" id="{D0019783-7F25-4EE0-B5BC-585C725F37EB}">
    <text>Effective date in the contract is 01/05/2021 - I believe it might have the wrong year and should have been 01/05/2024</text>
  </threadedComment>
</ThreadedComments>
</file>

<file path=xl/threadedComments/threadedComment2.xml><?xml version="1.0" encoding="utf-8"?>
<ThreadedComments xmlns="http://schemas.microsoft.com/office/spreadsheetml/2018/threadedcomments" xmlns:x="http://schemas.openxmlformats.org/spreadsheetml/2006/main">
  <threadedComment ref="K73" dT="2022-10-26T18:50:39.73" personId="{EC908863-CFDD-4FE0-8978-8958247FAF3D}" id="{4528C112-C0FB-4B6C-9B6B-161C31F363C9}">
    <text>Gary's signature only.. Missing Charles</text>
  </threadedComment>
  <threadedComment ref="K79" dT="2023-04-24T16:04:20.61" personId="{EC908863-CFDD-4FE0-8978-8958247FAF3D}" id="{C9CA4BB6-0897-420D-BC6A-BE0C7B8CBEDC}">
    <text>Viscosity sends a signed SOW, but we do not receive a signed one back. We get a PO.</text>
  </threadedComment>
  <threadedComment ref="C123" dT="2023-04-24T17:29:56.70" personId="{EC908863-CFDD-4FE0-8978-8958247FAF3D}" id="{799884A6-C792-42EF-9860-08ED87D38314}">
    <text>Active, but pretty sure hours have been met</text>
  </threadedComment>
  <threadedComment ref="N128" dT="2023-03-31T00:13:07.93" personId="{EC908863-CFDD-4FE0-8978-8958247FAF3D}" id="{BD707BCD-1105-4024-A3AA-A5F1C129164A}">
    <text>Marked in ST; do not see PO requirement in contract</text>
  </threadedComment>
  <threadedComment ref="H132" dT="2023-04-24T17:40:43.33" personId="{EC908863-CFDD-4FE0-8978-8958247FAF3D}" id="{B6561EC4-7E25-4249-A154-24BF2C8F260D}">
    <text>Effective date upon issuance of PO, but one was not provided. Assumption is that the project began Jan 2023</text>
  </threadedComment>
  <threadedComment ref="P140" dT="2023-04-03T17:17:55.56" personId="{EC908863-CFDD-4FE0-8978-8958247FAF3D}" id="{9E0D3BAF-89EA-483F-9AEA-A598B9DD39D7}">
    <text>Per what was entered in Scrum Time. Invoicing is subject to the Consulting Agreement. Do not see one on file.</text>
  </threadedComment>
  <threadedComment ref="H188" dT="2023-04-03T19:52:31.61" personId="{EC908863-CFDD-4FE0-8978-8958247FAF3D}" id="{ACFE7B9A-14BD-4001-88C8-4A41DE94A02D}">
    <text xml:space="preserve">The term of this SOW will commence on October 1, 2020 and continue until terminated by Client. The term of this SOW is twelve (12) months </text>
  </threadedComment>
  <threadedComment ref="U196" dT="2023-09-26T17:32:37.26" personId="{EC908863-CFDD-4FE0-8978-8958247FAF3D}" id="{8DE7A8A8-1006-4657-8460-7C66269E722F}">
    <text>Did not see est. duration listed</text>
  </threadedComment>
</ThreadedComments>
</file>

<file path=xl/threadedComments/threadedComment3.xml><?xml version="1.0" encoding="utf-8"?>
<ThreadedComments xmlns="http://schemas.microsoft.com/office/spreadsheetml/2018/threadedcomments" xmlns:x="http://schemas.openxmlformats.org/spreadsheetml/2006/main">
  <threadedComment ref="Z3" personId="{EC908863-CFDD-4FE0-8978-8958247FAF3D}" id="{709BB199-0216-4BC2-9B15-E71F316D2F91}">
    <text>ABC - At all times while performing work hereunder, Consultant shall maintain general liability insurance in 
amounts not less than $1,000,000 per occurrence and automobile insurance with minimum limits of 
$100,000 per occurrence, combined single limit</text>
  </threadedComment>
  <threadedComment ref="Z14" personId="{EC908863-CFDD-4FE0-8978-8958247FAF3D}" id="{70DA14B7-C6C9-4EC7-813F-1148FC8A5088}">
    <text>ACGI - At all times while performing work hereunder, Consultant shall maintain general liability insurance in amounts not less than $1,000,000 per occurrence and automobile insurance with minimum limits of $100,000 per occurrence, combined single limit.</text>
  </threadedComment>
  <threadedComment ref="Z23" dT="2022-09-14T00:18:08.85" personId="{EC908863-CFDD-4FE0-8978-8958247FAF3D}" id="{C1E68A0A-0F50-438E-BFDC-FEBB1B751B92}">
    <text>Commercial General Liability $1 million each occurrence/$2 million aggregate
(Including Products/Completed 
Operations)</text>
  </threadedComment>
  <threadedComment ref="AA23" dT="2022-09-19T18:25:05.13" personId="{EC908863-CFDD-4FE0-8978-8958247FAF3D}" id="{588FA872-FA3F-4109-AF4B-95CC7599FACB}">
    <text>Worker’s Compensation Statutory Limits
Employers Liability $1 million each occurrence
Professional Liability/Errors $1 million each occurrence
and Omissions</text>
  </threadedComment>
  <threadedComment ref="AF23" dT="2022-09-19T18:26:05.14" personId="{EC908863-CFDD-4FE0-8978-8958247FAF3D}" id="{E0CD4BC4-61A4-434F-B7CD-D2836A8476B8}">
    <text>Cyber Liability* $1 million each occurrence
*Should Provider collect credit card data while providing goods and services for AHA, then the cyber liability 
amount shall be based on the following:
No. of records/transactions 
anticipated annually Amount
Up to 250,000 $3 million
250,000—500,000 $4 million
500,000---750,000 $5 million
750,000—1 million $6 million</text>
  </threadedComment>
  <threadedComment ref="AP23" dT="2022-09-19T18:27:38.42" personId="{EC908863-CFDD-4FE0-8978-8958247FAF3D}" id="{39AC7DFA-B31F-49C1-A416-295A145B2207}">
    <text>Automobile Policy $1 million each occurrence</text>
  </threadedComment>
  <threadedComment ref="AB28" dT="2022-09-27T18:43:07.14" personId="{EC908863-CFDD-4FE0-8978-8958247FAF3D}" id="{95A95F0F-0304-4E68-8EC7-84C9B2274218}">
    <text>Workers’ Compensation coverage is required for all Supplier employees working onsite at BMW MC. The policy must include coverage for work performed in the State of South Carolina. Supplier will ensure that all employees working at BMW MC are covered by a Workers’ Compensation policy recognized by, and providing coverage in, the State of South Carolina.</text>
  </threadedComment>
  <threadedComment ref="AP28" dT="2022-09-27T18:42:34.82" personId="{EC908863-CFDD-4FE0-8978-8958247FAF3D}" id="{79E0816B-5FDD-486C-8411-C57252F98ACF}">
    <text>Auto Liability $1,000,000.00
(combined single limit per accident,
with “any auto” designation,
covering all vehicles operated by Supplier)</text>
  </threadedComment>
  <threadedComment ref="Z34" dT="2022-09-30T15:38:20.68" personId="{EC908863-CFDD-4FE0-8978-8958247FAF3D}" id="{988A6911-8699-41B9-84FA-E8444DC2A6B7}">
    <text>Item 11 -  B-8  INSURANCE, INDEMNIFICATION, AND LIABILITY
Seller assumes the following risks: (1) all risks of loss of damage to all  goods, deliverables, work in process, materials, and other things until the acceptance thereof as herein provided;  (2) all risks of loss or damage to third persons and their property until the acceptance of all the  goods or deliverables as herein provided; (3) all risks of loss or damage to any property received by Seller from or held by Seller or its supplier for the account of Buyer, until such property has been accepted by Buyer or its customer, as the case may be; and (4) all risks of  loss or damage to any of the  goods, deliverables or part thereof rejected by Buyer, from the time of shipment thereof to Seller until redelivery thereof  to Buyer.
Seller shall maintain insurance in at least the following amounts: (a) Commercial General Liability with the following minimum limits and endorsements: $1,000,000 Limit Per Occurrence,  $1,000,000 Personal and Advertising Injury, $1,000,000 Products/Completed Operations,  $2,000,000 General Aggregate Limit, $300,000 Fire Legal Liability, $10,000 Medical Payments; (b) Automobile Insurance: $1,000,000 combined single limit per accident for bodily injury and property damage. Auto Liability coverage must be provided on a hired and non-owned basis if there are no company owned or leased vehicles; (c) Standard Workmen’s Compensation and Employer’s Liability Insurance: in the minimum amount of $500,000 or such greater amount as may be proper under applicable state or federal statutes.  Buyer may request certificates of such insurance prior to commencement of work.  Upon Seller’s failure thereof, CACI may obtain, at Seller’s expense, the insurance coverage required for such compliance.  Seller also agrees to provide insurance for all CACI property in Seller’s possession against loss or damage resulting from fire or theft, including extended coverage, malicious mischief and vandalism.  CACI shall be given at least thirty (30) days advance written notice where possible of cancellation of any such insurance.</text>
  </threadedComment>
  <threadedComment ref="AB57" dT="2022-09-28T13:56:00.52" personId="{EC908863-CFDD-4FE0-8978-8958247FAF3D}" id="{F784F3AA-2C12-46E3-8B34-56EDB4B7CFB3}">
    <text>Each Accident</text>
  </threadedComment>
  <threadedComment ref="AP57" dT="2022-09-28T13:53:41.07" personId="{EC908863-CFDD-4FE0-8978-8958247FAF3D}" id="{C514BB86-C0C2-4F85-B5BF-9E0681ED5B84}">
    <text>Combined Single Limit</text>
  </threadedComment>
  <threadedComment ref="I59" dT="2022-10-26T18:50:39.73" personId="{EC908863-CFDD-4FE0-8978-8958247FAF3D}" id="{A653394B-A06F-4DDB-A3F6-83749E0AE879}">
    <text>Gary's signature only.. Missing Charles</text>
  </threadedComment>
  <threadedComment ref="I65" dT="2023-04-24T16:04:20.61" personId="{EC908863-CFDD-4FE0-8978-8958247FAF3D}" id="{483130EA-3468-4816-9685-2AAD6AC75B11}">
    <text>Viscosity sends a signed SOW, but we do not receive a signed one back. We get a PO.</text>
  </threadedComment>
  <threadedComment ref="X76" dT="2022-09-28T15:34:40.70" personId="{EC908863-CFDD-4FE0-8978-8958247FAF3D}" id="{329F0951-A646-4C82-BD7E-7DD83FC1B7F5}">
    <text>ARTICLE 13 - INSURANCE
At all times while performing work hereunder, Consultant shall maintain general liability insurance in amounts not 
less than $1,000,000 per occurrence and automobile insurance with minimum limits of $100,000 per occurrence, 
combined single limit.</text>
  </threadedComment>
  <threadedComment ref="B118" dT="2023-04-24T17:29:56.70" personId="{EC908863-CFDD-4FE0-8978-8958247FAF3D}" id="{224DF13B-B2AB-477C-BB75-F199D6BFD40C}">
    <text>Active, but pretty sure hours have been met</text>
  </threadedComment>
  <threadedComment ref="M121" dT="2023-03-31T00:13:07.93" personId="{EC908863-CFDD-4FE0-8978-8958247FAF3D}" id="{1FD9C7D1-8D3B-4DC6-938E-614FF3D19B27}">
    <text>Marked in ST; do not see PO requirement in contract</text>
  </threadedComment>
  <threadedComment ref="T130" dT="2023-04-24T17:40:43.33" personId="{EC908863-CFDD-4FE0-8978-8958247FAF3D}" id="{84FE2BDD-2493-409E-A992-F8AD11D7F664}">
    <text>Effective date upon issuance of PO, but one was not provided. Assumption is that the project began Jan 2023</text>
  </threadedComment>
  <threadedComment ref="U137" dT="2023-03-31T16:30:25.21" personId="{EC908863-CFDD-4FE0-8978-8958247FAF3D}" id="{86D4C577-D322-40CB-B36B-838CB3D9307F}">
    <text xml:space="preserve">Survival. Sections 2.2, Error! Reference source not found. through 19, 20.5, and 21 through 26 will survive any termination of this Agreement. </text>
  </threadedComment>
  <threadedComment ref="M138" dT="2023-03-31T16:35:31.92" personId="{EC908863-CFDD-4FE0-8978-8958247FAF3D}" id="{34CB4699-9688-40F9-A764-F9F13983EA2A}">
    <text xml:space="preserve">Invoicing and Payment. Service Provider will send invoices as set forth in the applicable SOW or, if not specified in the SOW, no later than 60 days after completion of the Services or relevant milestone, as a condition precedent to Neiman Marcus’s obligation to pay. Payment terms will be net 45 days from receipt of proper invoices for undisputed invoices, unless specified otherwise in the applicable SOW. If the compensation for any portion of the Services is other than a fixed fee, Service Provider will provide documentation (e.g. billed hours and rate, timesheets, travel expense receipts) in support of all expenses that Neiman Marcus may reasonably require. Unless otherwise directed in writing by Neiman Marcus, all Service Provider invoices for Services performed pursuant to this Agreement must reflect the correct purchase order number. The parties agree that any standard terms and conditions included or referenced in the invoice shall be null and void. Neiman Marcus may set off any amount due against any amount owed by Service Provider. </text>
  </threadedComment>
  <threadedComment ref="U138" dT="2023-03-31T16:27:13.38" personId="{EC908863-CFDD-4FE0-8978-8958247FAF3D}" id="{EE39CECA-BDB6-4986-92FD-8AB76A6068E7}">
    <text xml:space="preserve">Term. This Agreement shall terminate on the earlier of receipt of written notice to that effect by one party from the other in accordance with Section 5, mutual agreement of the parties or entry into a definitive agreement related to the Relationship that contains a non-disclosure provision. Each party’s obligations under this Agreement with respect to the other party’s Confidential Information shall continue in effect for the greater of two years from the termination effective date of this Agreement or the maximum period of time permitted by law. </text>
  </threadedComment>
  <threadedComment ref="O143" dT="2023-04-03T17:17:55.56" personId="{EC908863-CFDD-4FE0-8978-8958247FAF3D}" id="{FBCAAD42-650B-4431-805D-D5FEADF6BCA7}">
    <text>Per what was entered in Scrum Time. Invoicing is subject to the Consulting Agreement. Do not see one on file.</text>
  </threadedComment>
  <threadedComment ref="T201" dT="2023-04-03T19:52:31.61" personId="{EC908863-CFDD-4FE0-8978-8958247FAF3D}" id="{979EA57C-9C38-445B-9282-6AD6F32647D2}">
    <text xml:space="preserve">The term of this SOW will commence on October 1, 2020 and continue until terminated by Client. The term of this SOW is twelve (12) months </text>
  </threadedComment>
  <threadedComment ref="U209" dT="2023-09-26T17:32:37.26" personId="{EC908863-CFDD-4FE0-8978-8958247FAF3D}" id="{81A2C9F1-6112-434A-8400-4FCD50AB4808}">
    <text>Did not see est. duration listed</text>
  </threadedComment>
</ThreadedComments>
</file>

<file path=xl/worksheets/_rels/sheet1.xml.rels><?xml version="1.0" encoding="UTF-8" standalone="yes"?>
<Relationships xmlns="http://schemas.openxmlformats.org/package/2006/relationships"><Relationship Id="rId26" Type="http://schemas.openxmlformats.org/officeDocument/2006/relationships/hyperlink" Target="../../Contracts/US%20Renal%20Care/5%20-%20Agreements/VNA_NDA_Signed_09132018.CK.pdf" TargetMode="External"/><Relationship Id="rId21" Type="http://schemas.openxmlformats.org/officeDocument/2006/relationships/hyperlink" Target="../../Contracts/Follett/1-%20Agreements/Signed%20Agreements/MSA-VT%20Gold%20Follett%202022%20-%20FINAL%206-20-22%20(002).pdf" TargetMode="External"/><Relationship Id="rId42" Type="http://schemas.openxmlformats.org/officeDocument/2006/relationships/hyperlink" Target="../../Contracts/Centene%20-%20%5bformerly%20Wellcare%5d%20-%20%5bformerly%20Meridian%20(Caidan)%5d/8%20-%20Archive/Wellcare/1%20-%20Agreements/Signed/Fully%20Executed%20MSA.pdf" TargetMode="External"/><Relationship Id="rId47" Type="http://schemas.openxmlformats.org/officeDocument/2006/relationships/hyperlink" Target="../../Contracts/NeoSystems/5%20-%20Agreements/Signed/VNA%20Master%20Services%20Agreement%20NeoSystems%20May-2018-countersigned.pdf" TargetMode="External"/><Relationship Id="rId63" Type="http://schemas.openxmlformats.org/officeDocument/2006/relationships/hyperlink" Target="../../Contracts/Merit%20Medical/4%20-%20SOWs/Signed/2019.09.06%20-%20Viscocity%20MSA%20and%20SOW.pdf" TargetMode="External"/><Relationship Id="rId68" Type="http://schemas.openxmlformats.org/officeDocument/2006/relationships/hyperlink" Target="../../../../../../:b:/s/VNA-Sales/Ef_69GQoahVKrZ4ztsdwCUMBZw4y5icVsKvGdO6Weq8-bA?e=FwVLaT" TargetMode="External"/><Relationship Id="rId84" Type="http://schemas.openxmlformats.org/officeDocument/2006/relationships/hyperlink" Target="../../../../../../:b:/s/VNA-Sales/EQvt9VRzIPhEoUafyi30OgcB4L95QdUwpTCZmj1FpZZFGw?e=EBLmau" TargetMode="External"/><Relationship Id="rId89" Type="http://schemas.openxmlformats.org/officeDocument/2006/relationships/hyperlink" Target="../../../../../../:b:/s/VNA-Sales/EXnbcxjZdQ1Oqul16mHk9e0BBjvYTc-dRP5Hok6DFLMy4Q?e=utdaxP" TargetMode="External"/><Relationship Id="rId16" Type="http://schemas.openxmlformats.org/officeDocument/2006/relationships/hyperlink" Target="../../Contracts/Sanofi/1-%20Agreements/CDA_NDA%20w_%20Viscosity%20North%20America%20-%20signed.pdf" TargetMode="External"/><Relationship Id="rId11" Type="http://schemas.openxmlformats.org/officeDocument/2006/relationships/hyperlink" Target="../../Contracts/Globalstar/1%20-%20Agreements/Executed/VNA_-MSA_-_Globalstar.APRIL2023.docx.pdf" TargetMode="External"/><Relationship Id="rId32" Type="http://schemas.openxmlformats.org/officeDocument/2006/relationships/hyperlink" Target="../../Contracts/IQN/3-%20Agreements/VNA%20Master%20Services%20Agreement%20IQN%20-%20DW%20(11.27.17)%20-%20signed.pdf" TargetMode="External"/><Relationship Id="rId37" Type="http://schemas.openxmlformats.org/officeDocument/2006/relationships/hyperlink" Target="../../Contracts/Saracen%20Energy/1-%20Agreements/Signed/Saracen%20NDA.PDF" TargetMode="External"/><Relationship Id="rId53" Type="http://schemas.openxmlformats.org/officeDocument/2006/relationships/hyperlink" Target="../../Contracts/IdenTrust/1%20-%20Agreements/Signed%20MSA/VNA%20Master%20Services%20Agreement%20-%20IdenTrust%20v2%20signed.pdf" TargetMode="External"/><Relationship Id="rId58" Type="http://schemas.openxmlformats.org/officeDocument/2006/relationships/hyperlink" Target="../../Contracts/Computex/1%20-%20Agreements/03-02-2021_Computex_Master_Contracting_Agreement_-_Viscosity_Redlines_-_Computex_Reply.pdf" TargetMode="External"/><Relationship Id="rId74" Type="http://schemas.openxmlformats.org/officeDocument/2006/relationships/hyperlink" Target="../../../../../../:b:/s/VNA-Sales/EUc916_sII1PsstJ-prOnJEBm63k4XBJNywwptvjdnLYlw?e=Okiegy" TargetMode="External"/><Relationship Id="rId79" Type="http://schemas.openxmlformats.org/officeDocument/2006/relationships/hyperlink" Target="../../../../../../:b:/s/VNA-Sales/EdXyw-135btAkApDAJC0OSIBuyejkMkCF4-s9EUyluc82Q?e=qn5Xqd" TargetMode="External"/><Relationship Id="rId5" Type="http://schemas.openxmlformats.org/officeDocument/2006/relationships/hyperlink" Target="../../../../../../OneDrive%20-%20Viscosity%20North%20America,%20Inc/General/Contracts/CAP/3%20-%20Agreements/PO%2087781%20Viscosity%20MASTER%20SERVICES%20AGREEMENT.pdf" TargetMode="External"/><Relationship Id="rId90" Type="http://schemas.openxmlformats.org/officeDocument/2006/relationships/hyperlink" Target="../../../../../../:b:/s/VNA-Sales/Ecgu9ZDcheFBuPK-zxpvIQ0BzEu4TXYdzV6kS4InIamEjg?e=F4Jyvx" TargetMode="External"/><Relationship Id="rId95" Type="http://schemas.openxmlformats.org/officeDocument/2006/relationships/vmlDrawing" Target="../drawings/vmlDrawing1.vml"/><Relationship Id="rId22" Type="http://schemas.openxmlformats.org/officeDocument/2006/relationships/hyperlink" Target="../../Contracts/Clario/1%20-%20Agreements/Signed/Viscosity_Clario_Supplier_MSA_Redlines_-_FINAL.10122022.docx.pdf" TargetMode="External"/><Relationship Id="rId27" Type="http://schemas.openxmlformats.org/officeDocument/2006/relationships/hyperlink" Target="../../Contracts/US%20Renal%20Care/5%20-%20Agreements/VNA_MSA_Signed_01292019_JP.pdf" TargetMode="External"/><Relationship Id="rId43" Type="http://schemas.openxmlformats.org/officeDocument/2006/relationships/hyperlink" Target="../../Contracts/Record%20Deposition%20Service%20(RDS)/1%20-%20Agreements/Signed%20MSA/VNA%20Master%20Services%20Agreement%20-%20RDS%20-%20Signed%20CK.pdf" TargetMode="External"/><Relationship Id="rId48" Type="http://schemas.openxmlformats.org/officeDocument/2006/relationships/hyperlink" Target="../../Contracts/Neiman%20Marcus/1%20-%20Agreements/NDA/Viscosity_MNDA_2017doc.pdf" TargetMode="External"/><Relationship Id="rId64" Type="http://schemas.openxmlformats.org/officeDocument/2006/relationships/hyperlink" Target="../../../../../../:b:/s/VNA-Sales/EWWMkPXy4TNElIf3Ull4e_MBVlGe5fnzA8mFicYiRA0OcQ?e=Tu68UO" TargetMode="External"/><Relationship Id="rId69" Type="http://schemas.openxmlformats.org/officeDocument/2006/relationships/hyperlink" Target="../../../../../../:b:/s/VNA-Sales/ES0EXL_bTjpJrc-HUjDiMToBooLvoqoG61QGJv_YfLcJ4g?e=ssxZyM" TargetMode="External"/><Relationship Id="rId80" Type="http://schemas.openxmlformats.org/officeDocument/2006/relationships/hyperlink" Target="../../../../../../:b:/s/VNA-Sales/EQnMbcBvYfNNoFXtbdQbLlwBczbmJ4SBG_5RKE0IwUCt3A?e=aIiktU" TargetMode="External"/><Relationship Id="rId85" Type="http://schemas.openxmlformats.org/officeDocument/2006/relationships/hyperlink" Target="../../../../../../:b:/s/VNA-Sales/EQ88u5X6m61Om1X3pfJZK7ABE9bBC5H95-4Ahp4r_32uBQ?e=dkyIBK" TargetMode="External"/><Relationship Id="rId3" Type="http://schemas.openxmlformats.org/officeDocument/2006/relationships/hyperlink" Target="../../Contracts/Follett/Follet%20Content%20Solutions%20LLC%20(SQL%20Server)/MSA%20and%20NDA/Signed/VT.MSA.Follett%20Content%20Solutions.27JAN2024%20Follett%20Content%20Edits.FINAL.docx.pdf" TargetMode="External"/><Relationship Id="rId12" Type="http://schemas.openxmlformats.org/officeDocument/2006/relationships/hyperlink" Target="../../Contracts/Standard%20Lithium%20Ltd/1-%20Agreements/Signed/VNA.MNDA.2023%20-%20Standard%20Lithium%20Ltd..doc.pdf" TargetMode="External"/><Relationship Id="rId17" Type="http://schemas.openxmlformats.org/officeDocument/2006/relationships/hyperlink" Target="../../Contracts/Flowtrac/Viscosity%20Flowtrac%20MNDA.pdf" TargetMode="External"/><Relationship Id="rId25" Type="http://schemas.openxmlformats.org/officeDocument/2006/relationships/hyperlink" Target="../../Contracts/WWCT/5%20-%20Agreements/ViscTech_MSA_20May2020_Draft_new.docx.pdf" TargetMode="External"/><Relationship Id="rId33" Type="http://schemas.openxmlformats.org/officeDocument/2006/relationships/hyperlink" Target="../../Contracts/IQN/3-%20Agreements/Beeline_CounterSigned.pdf" TargetMode="External"/><Relationship Id="rId38" Type="http://schemas.openxmlformats.org/officeDocument/2006/relationships/hyperlink" Target="../../Contracts/Saracen%20Energy/1-%20Agreements/Signed/Saracen%20signed%20MSA%20(002).pdf" TargetMode="External"/><Relationship Id="rId46" Type="http://schemas.openxmlformats.org/officeDocument/2006/relationships/hyperlink" Target="../../Contracts/Poplar/5%20-%20Agreements/Signed/MSA-VNA.Poplar.2022.FINAL.docx.pdf" TargetMode="External"/><Relationship Id="rId59" Type="http://schemas.openxmlformats.org/officeDocument/2006/relationships/hyperlink" Target="../../Contracts/BMW/5%20-%20Agreements/MSA/BMW%20VNA%20MSA%20-%20DW%20040920%20V1.docx?web=1" TargetMode="External"/><Relationship Id="rId67" Type="http://schemas.openxmlformats.org/officeDocument/2006/relationships/hyperlink" Target="../../../../../../:b:/s/VNA-Sales/EaUT3k_plNxOsnxwFRNtMCsBs3NsA95V7hUqBVzU1ezV9w?e=IhXFv3" TargetMode="External"/><Relationship Id="rId20" Type="http://schemas.openxmlformats.org/officeDocument/2006/relationships/hyperlink" Target="../../Contracts/Follett/1-%20Agreements/Signed%20Agreements/MNDA%20FSS%20LLC%20Viscosity%20(002).pdf" TargetMode="External"/><Relationship Id="rId41" Type="http://schemas.openxmlformats.org/officeDocument/2006/relationships/hyperlink" Target="../../Contracts/Centene%20-%20%5bformerly%20Wellcare%5d%20-%20%5bformerly%20Meridian%20(Caidan)%5d/8%20-%20Archive/Wellcare/1%20-%20Agreements/Signed/AGS+-+Full+Coverage+Supplier+or+Vendor+NDA%20Export.pdf" TargetMode="External"/><Relationship Id="rId54" Type="http://schemas.openxmlformats.org/officeDocument/2006/relationships/hyperlink" Target="../../Contracts/HRL/5%20-%20Agreements/Signed/Consultant%20Agreement%20Viscosity%20North%20America%20211033-HC%20-%20FS.pdf" TargetMode="External"/><Relationship Id="rId62" Type="http://schemas.openxmlformats.org/officeDocument/2006/relationships/hyperlink" Target="../../Contracts/ACGI/4%20-%20Agreements/MSA-ACGI.docx?web=1" TargetMode="External"/><Relationship Id="rId70" Type="http://schemas.openxmlformats.org/officeDocument/2006/relationships/hyperlink" Target="../../../../../../:b:/s/VNA-Sales/ESwy-5N0PatHs9PtJQFKBhwBhLcsyOB7UtrNxfsbynf1XQ?e=RZOQdy" TargetMode="External"/><Relationship Id="rId75" Type="http://schemas.openxmlformats.org/officeDocument/2006/relationships/hyperlink" Target="../../../../../../:b:/s/VNA-Sales/EUwO5c1sHUdEpsdOq5wNjaIBQgwzapjavKnJQaJaQB4Mrg?e=iu48Eg" TargetMode="External"/><Relationship Id="rId83" Type="http://schemas.openxmlformats.org/officeDocument/2006/relationships/hyperlink" Target="../../../../../../:b:/s/VNA-Sales/EQ_dKf1N2JlEjmlWJrRHBNUBXcs0XSHmVimg2Zue8sZOMg?e=e0OvcD" TargetMode="External"/><Relationship Id="rId88" Type="http://schemas.openxmlformats.org/officeDocument/2006/relationships/hyperlink" Target="../../../../../../:b:/s/VNA-Sales/EViRjzBRvT1Dn-rWHxZWRlkBbXcbwQXZB-tPR_bGK9L45w?e=5OFreK" TargetMode="External"/><Relationship Id="rId91" Type="http://schemas.openxmlformats.org/officeDocument/2006/relationships/hyperlink" Target="../../../../../../:b:/s/VNA-Sales/EazER_8tHixHlSpRf6tGlbEB3hRQyWTxYZI5TBzpCIQSbA?e=2Y67QU" TargetMode="External"/><Relationship Id="rId96" Type="http://schemas.openxmlformats.org/officeDocument/2006/relationships/table" Target="../tables/table1.xml"/><Relationship Id="rId1" Type="http://schemas.openxmlformats.org/officeDocument/2006/relationships/hyperlink" Target="../../Contracts/ABC%20Financial/5%20-%20Agreements/ABC%20Financial%20Viscosity%20MSA.Final.pdf" TargetMode="External"/><Relationship Id="rId6" Type="http://schemas.openxmlformats.org/officeDocument/2006/relationships/hyperlink" Target="../../../../../../OneDrive%20-%20Viscosity%20North%20America,%20Inc/General/Contracts/American%20Leather/1%20-%20Agreements/VNA.MSA.AMERICAN_LEATHER.2023.docx.pdf" TargetMode="External"/><Relationship Id="rId15" Type="http://schemas.openxmlformats.org/officeDocument/2006/relationships/hyperlink" Target="../../Contracts/BDO-Harris%20County/1%20-%20Agreements/Consulting%20Agreement%20-%20Viscosity%20-%20BDO%206-17-17-v4-%20countersigned.pdf" TargetMode="External"/><Relationship Id="rId23" Type="http://schemas.openxmlformats.org/officeDocument/2006/relationships/hyperlink" Target="../../Contracts/Clario/1%20-%20Agreements/Signed/Viscosity_NDA_26Jul22_VNA_SIGNED.docx.pdf" TargetMode="External"/><Relationship Id="rId28" Type="http://schemas.openxmlformats.org/officeDocument/2006/relationships/hyperlink" Target="../../Contracts/ST%20Genetics/5%20-%20Agreements/NDA/STGenetics%20and%20Viscosity%20NA%20Mutual%20NDA%20-%20IT%20Consultants%20(2018.06.08).pdf" TargetMode="External"/><Relationship Id="rId36" Type="http://schemas.openxmlformats.org/officeDocument/2006/relationships/hyperlink" Target="../../Contracts/CACI-%20FKA-%20LGS%20Innovations/3%20-%20Agreements/NDA/caci_agreement.NDA.120222.pdf" TargetMode="External"/><Relationship Id="rId49" Type="http://schemas.openxmlformats.org/officeDocument/2006/relationships/hyperlink" Target="../../Contracts/Neiman%20Marcus/1%20-%20Agreements/Signed/Viscosity%20VMO-5813-MASTER%20SERVICES%20AGREEMENT.VNA%20Clean%20and%20Final.docx.pdf" TargetMode="External"/><Relationship Id="rId57" Type="http://schemas.openxmlformats.org/officeDocument/2006/relationships/hyperlink" Target="../../Contracts/Dominion%20Energy/1-%20Agreements/6163-01A-57112-A5%20Sumner%20Amended%20CSA.pdf" TargetMode="External"/><Relationship Id="rId10" Type="http://schemas.openxmlformats.org/officeDocument/2006/relationships/hyperlink" Target="../../Contracts/RIA-Nationwide/3%20-%20Agreements/Signed/Limited%20Services%20Agreement%20FINAL%2020230519.docx.pdf" TargetMode="External"/><Relationship Id="rId31" Type="http://schemas.openxmlformats.org/officeDocument/2006/relationships/hyperlink" Target="../../Contracts/CACI-%20FKA-%20LGS%20Innovations/3%20-%20Agreements/NDA/caci_agreement.NDA.120222.pdf" TargetMode="External"/><Relationship Id="rId44" Type="http://schemas.openxmlformats.org/officeDocument/2006/relationships/hyperlink" Target="../../Contracts/Power%20Design/5%20-%20Agreements/Power%20Design%20-%20NDA%20(one%20sided)%20-%20signed.pdf" TargetMode="External"/><Relationship Id="rId52" Type="http://schemas.openxmlformats.org/officeDocument/2006/relationships/hyperlink" Target="../../Contracts/Morris-Shea/5%20-%20Agreements/Signed%20Agreements/Sabre%20NDA%2002112016_Signed.pdf" TargetMode="External"/><Relationship Id="rId60" Type="http://schemas.openxmlformats.org/officeDocument/2006/relationships/hyperlink" Target="../../Contracts/COE/5%20-%20Agreements/MSA/Viscosity%20Master%20Services%20Agreement.pdf" TargetMode="External"/><Relationship Id="rId65" Type="http://schemas.openxmlformats.org/officeDocument/2006/relationships/hyperlink" Target="../../../../../../:b:/s/VNA-Sales/EevF4jSXEY1HphW6q5yMbZcBu3MU1Ymg_ree_yBYKDZxDA?e=ajkWMV" TargetMode="External"/><Relationship Id="rId73" Type="http://schemas.openxmlformats.org/officeDocument/2006/relationships/hyperlink" Target="../../../../../../:b:/s/VNA-Sales/EQjKj_NlKmtBtAz2_JFrmU4BuzlWXWhtenld82SODHyBEA?e=IHklai" TargetMode="External"/><Relationship Id="rId78" Type="http://schemas.openxmlformats.org/officeDocument/2006/relationships/hyperlink" Target="../../../../../../:b:/s/VNA-Sales/EcUU4UpqQ-pGvGU6IX-RBi0BWaBrqn7XLTZCLjsmVZv8Ig?e=heSB31" TargetMode="External"/><Relationship Id="rId81" Type="http://schemas.openxmlformats.org/officeDocument/2006/relationships/hyperlink" Target="../../../../../../:b:/s/VNA-Sales/EUc7metdEVxDnsSBSvfQYmgBQuTG-3bMlpf4lqeJwL7ehQ?e=biAhod" TargetMode="External"/><Relationship Id="rId86" Type="http://schemas.openxmlformats.org/officeDocument/2006/relationships/hyperlink" Target="../../../../../../:b:/s/VNA-Sales/EZP2lf6cZq1Cih91m-E8UkABKOniy5inVebWzPk9OPh4Ew?e=XESKaz" TargetMode="External"/><Relationship Id="rId94" Type="http://schemas.openxmlformats.org/officeDocument/2006/relationships/printerSettings" Target="../printerSettings/printerSettings1.bin"/><Relationship Id="rId4" Type="http://schemas.openxmlformats.org/officeDocument/2006/relationships/hyperlink" Target="../../Contracts/Sports%20Medicine%20Research%20and%20Testing%20Lab/1%20-%20Agreements/Signed/VNA-SMRTL-MSA.docx.pdf" TargetMode="External"/><Relationship Id="rId9" Type="http://schemas.openxmlformats.org/officeDocument/2006/relationships/hyperlink" Target="../../Contracts/Poplar/1%20-%20Agreements/Signed/MSA-VNA.Poplar.2022.FINAL.docx.pdf" TargetMode="External"/><Relationship Id="rId13" Type="http://schemas.openxmlformats.org/officeDocument/2006/relationships/hyperlink" Target="../../Contracts/UMass%20Memorial/1%20-%20Agreements/Contracts/Viscosity%20North%20America%20MSA%209-1-17%20to%208-31-18%20(5980).pdf" TargetMode="External"/><Relationship Id="rId18" Type="http://schemas.openxmlformats.org/officeDocument/2006/relationships/hyperlink" Target="../../Contracts/CACI-%20FKA-%20LGS%20Innovations/3%20-%20Agreements/MSA/LGS%20terms%20and%20conditions%20-%20DW%20072519%20(redline%20of%20LGS%20original).docx?web=1" TargetMode="External"/><Relationship Id="rId39" Type="http://schemas.openxmlformats.org/officeDocument/2006/relationships/hyperlink" Target="../../Contracts/Jiffy%20Lube/2%20-%20Agreements/Signed/MSA-VNA_-_Jiffy_Lube_2021.NOV_v2.docx.pdf" TargetMode="External"/><Relationship Id="rId34" Type="http://schemas.openxmlformats.org/officeDocument/2006/relationships/hyperlink" Target="../../Contracts/MountainWest%20Pipeline/1-%20Agreements/Project%20Jazz%20-%20Viscosity%20MSA%20-%20signed.pdf" TargetMode="External"/><Relationship Id="rId50" Type="http://schemas.openxmlformats.org/officeDocument/2006/relationships/hyperlink" Target="../../Contracts/National%20Mango%20Board/4%20-%20Agreements/Signed/Viscosity%20North%20America_Mango%20Volume%20Inventory%20System%20Consultant%20Agreement%202021.pdf" TargetMode="External"/><Relationship Id="rId55" Type="http://schemas.openxmlformats.org/officeDocument/2006/relationships/hyperlink" Target="../../Contracts/FNF/1%20-%20Agreements/Signed/VNA_Master_Services_Agreemen-Signed.pdf" TargetMode="External"/><Relationship Id="rId76" Type="http://schemas.openxmlformats.org/officeDocument/2006/relationships/hyperlink" Target="../../../../../../:b:/s/VNA-Sales/ETK7bIlRxA1GqSKg5_aDWrYBZi0jpElTXB8ueqq7sobvPg?e=ejKwGa" TargetMode="External"/><Relationship Id="rId97" Type="http://schemas.openxmlformats.org/officeDocument/2006/relationships/comments" Target="../comments1.xml"/><Relationship Id="rId7" Type="http://schemas.openxmlformats.org/officeDocument/2006/relationships/hyperlink" Target="../../Contracts/Just%20Born/1%20-%20Agreements/VNA.MSA.Just%20Born.June%202023.docx.pdf" TargetMode="External"/><Relationship Id="rId71" Type="http://schemas.openxmlformats.org/officeDocument/2006/relationships/hyperlink" Target="../../../../../../:b:/s/VNA-Sales/EYPVH2v2qZxPlAQrRo4t0YkBgOmdwZBExig4vNPUrIE0jQ?e=Nn4BL7" TargetMode="External"/><Relationship Id="rId92" Type="http://schemas.openxmlformats.org/officeDocument/2006/relationships/hyperlink" Target="../../../../../../:b:/s/VNA-Sales/ES6jJYNG0E9Eix_1Hxck_osBWA4QCGvEcUx4dOdxe3z5Kg?e=XPL0rj" TargetMode="External"/><Relationship Id="rId2" Type="http://schemas.openxmlformats.org/officeDocument/2006/relationships/hyperlink" Target="../../Contracts/Follett/Follet%20Content%20Solutions%20LLC%20(SQL%20Server)/MSA%20and%20NDA/Signed/VT.MNDA.Follett%20Content%20Solutions.24JAN2024%20(002)%20Follett%20Comments%20FINAL.doc.pdf" TargetMode="External"/><Relationship Id="rId29" Type="http://schemas.openxmlformats.org/officeDocument/2006/relationships/hyperlink" Target="../../Contracts/Sherwin%20Williams/1%20-%20Agreements/MSA-VNA_Sherwin%20Williams.docx" TargetMode="External"/><Relationship Id="rId24" Type="http://schemas.openxmlformats.org/officeDocument/2006/relationships/hyperlink" Target="../../Contracts/CTOT%20-%20Capital%20Title%20of%20Texas/1%20-%20Agreements/Viscosity_MSA_CapitalTitle_CRM_11132020%20(signed).pdf" TargetMode="External"/><Relationship Id="rId40" Type="http://schemas.openxmlformats.org/officeDocument/2006/relationships/hyperlink" Target="../../Contracts/Morris-Shea/5%20-%20Agreements/VNA%20Morris-Shea%20MSA%20v1.docx?web=1" TargetMode="External"/><Relationship Id="rId45" Type="http://schemas.openxmlformats.org/officeDocument/2006/relationships/hyperlink" Target="../../Contracts/Poplar/1%20-%20Agreements/Signed/BAA_Poplar%20Healthcare_VNA.v20220422.Executed04252022.pdf" TargetMode="External"/><Relationship Id="rId66" Type="http://schemas.openxmlformats.org/officeDocument/2006/relationships/hyperlink" Target="../../../../../../:b:/s/VNA-Sales/EbS0r_ZhCihHsUZkErPXmXMBisbu2lEIuCWG-DHqRhs76g?e=xoDkbU" TargetMode="External"/><Relationship Id="rId87" Type="http://schemas.openxmlformats.org/officeDocument/2006/relationships/hyperlink" Target="../../../../../../:b:/s/VNA-Sales/EXJk91Gmc1dAsk1WDsMa0YgBvIZCbL0ELNCtU892k1Putg?e=1er9aq" TargetMode="External"/><Relationship Id="rId61" Type="http://schemas.openxmlformats.org/officeDocument/2006/relationships/hyperlink" Target="../../Contracts/AHA/1%20-%20Agreements/Viscosity_121240_2017.05.24_K_AMERICAN%20HEART.pdf" TargetMode="External"/><Relationship Id="rId82" Type="http://schemas.openxmlformats.org/officeDocument/2006/relationships/hyperlink" Target="../../../../../../:b:/s/VNA-Sales/ETDZy1gU9-BNhAljuw84lcEB26GEx7z0xmArgYmukUi7ZA?e=tTgf1A" TargetMode="External"/><Relationship Id="rId19" Type="http://schemas.openxmlformats.org/officeDocument/2006/relationships/hyperlink" Target="../../Contracts/Transnetyx/5%20-%20Agreements/Viscosity%20Transnetyx%20MSA.pdf" TargetMode="External"/><Relationship Id="rId14" Type="http://schemas.openxmlformats.org/officeDocument/2006/relationships/hyperlink" Target="../../Contracts/Record%20Deposition%20Service%20(RDS)/1%20-%20Agreements/Signed%20NDA/VNARDS%20NDA%20-%20Signed%20CK.pdf" TargetMode="External"/><Relationship Id="rId30" Type="http://schemas.openxmlformats.org/officeDocument/2006/relationships/hyperlink" Target="../../Contracts/Sherwin%20Williams/1%20-%20Agreements/Executed_Viscosity_North_America_NDA_05282019.pdf" TargetMode="External"/><Relationship Id="rId35" Type="http://schemas.openxmlformats.org/officeDocument/2006/relationships/hyperlink" Target="../../Contracts/CACI-%20FKA-%20LGS%20Innovations/5%20-%20Agreements/NDA/caci_agreement.NDA.120222.pdf" TargetMode="External"/><Relationship Id="rId56" Type="http://schemas.openxmlformats.org/officeDocument/2006/relationships/hyperlink" Target="../../Contracts/Florida%20Realtors/5%20-%20Agreements/Signed/Signed%20msa-vt%20gold%20template%202021%20-%20modified.pdf" TargetMode="External"/><Relationship Id="rId77" Type="http://schemas.openxmlformats.org/officeDocument/2006/relationships/hyperlink" Target="../../../../../../:b:/s/VNA-Sales/EaF_rFmD4LlHhmSUT3CBz08B3CXw1EQVaUb_ususoNqjDw?e=b8v76P" TargetMode="External"/><Relationship Id="rId8" Type="http://schemas.openxmlformats.org/officeDocument/2006/relationships/hyperlink" Target="../../../../../../../../../../../../../../../../../../../../../../../../../../../leisa/Viscosity%20North%20America,%20Inc/VNA-%20Sales%20-%20General/Contracts/MountainWest%20Pipeline/2%20-%20SOWs/Executed/Project%20Jazz%20-%20Viscosity%20SoW%20-%20signed.pdf" TargetMode="External"/><Relationship Id="rId51" Type="http://schemas.openxmlformats.org/officeDocument/2006/relationships/hyperlink" Target="../../Contracts/Morris-Shea/5%20-%20Agreements/VNA%20Morris-Shea%20MSA%20v1.docx?web=1" TargetMode="External"/><Relationship Id="rId72" Type="http://schemas.openxmlformats.org/officeDocument/2006/relationships/hyperlink" Target="../../../../../../:b:/s/VNA-Sales/ERrBBhK608pHk_FZYJG2FXkBkvGUQug6piGik1auLORwHA?e=Z6veZO" TargetMode="External"/><Relationship Id="rId93" Type="http://schemas.openxmlformats.org/officeDocument/2006/relationships/hyperlink" Target="../../../../../../:b:/s/VNA-Sales/ES7Njcgxa2VBkAaksigmSLQBqEFDv6CrHNkG03NKgl9lzA?e=2qYS5o" TargetMode="External"/><Relationship Id="rId98"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8" Type="http://schemas.openxmlformats.org/officeDocument/2006/relationships/table" Target="../tables/table2.xml"/><Relationship Id="rId3" Type="http://schemas.openxmlformats.org/officeDocument/2006/relationships/hyperlink" Target="Cynet%20Reseller%20(US).docx" TargetMode="External"/><Relationship Id="rId7" Type="http://schemas.openxmlformats.org/officeDocument/2006/relationships/hyperlink" Target="../../../../../../:b:/s/VNA-Sales/ES6jJYNG0E9Eix_1Hxck_osBWA4QCGvEcUx4dOdxe3z5Kg?e=XPL0rj" TargetMode="External"/><Relationship Id="rId2" Type="http://schemas.openxmlformats.org/officeDocument/2006/relationships/hyperlink" Target="Solix/2023%20Solix%20Partnership-Reseller%20Agreement%20CK.doc" TargetMode="External"/><Relationship Id="rId1" Type="http://schemas.openxmlformats.org/officeDocument/2006/relationships/hyperlink" Target="Solix/Executed%2006.03.2023%20-%20SOLIX%20Mutual%20NDA-2023.pdf" TargetMode="External"/><Relationship Id="rId6" Type="http://schemas.openxmlformats.org/officeDocument/2006/relationships/hyperlink" Target="../../../../../../:w:/s/VNA-Sales/EaS3-A6nroFKl65v93fGL70BnkF1aADcPiI_KnN2Ej9FsQ?e=i3Yfxf" TargetMode="External"/><Relationship Id="rId5" Type="http://schemas.openxmlformats.org/officeDocument/2006/relationships/hyperlink" Target="../../../../../../:b:/s/VNA-Sales/EWVbCJlHLRdJhfXV9agWp5MB0w5u1TOFMudGLqJ98Fg3vA?e=sbNQ5H" TargetMode="External"/><Relationship Id="rId4" Type="http://schemas.openxmlformats.org/officeDocument/2006/relationships/hyperlink" Target="Confulent/ConfluentPartnerProgramTermsConditions.pdf" TargetMode="External"/></Relationships>
</file>

<file path=xl/worksheets/_rels/sheet3.xml.rels><?xml version="1.0" encoding="UTF-8" standalone="yes"?>
<Relationships xmlns="http://schemas.openxmlformats.org/package/2006/relationships"><Relationship Id="rId117" Type="http://schemas.openxmlformats.org/officeDocument/2006/relationships/hyperlink" Target="../../../../../../:b:/s/VNA-Sales/ERqtuRE0YjlDnu8VWkkkw28BjtSQ4xHFVHvrxa6giY6V3g?e=15aS92" TargetMode="External"/><Relationship Id="rId21" Type="http://schemas.openxmlformats.org/officeDocument/2006/relationships/hyperlink" Target="../../../../../../../../../../../../../../../../../../../../../../../../../../../leisa/Viscosity%20North%20America,%20Inc/VNA-%20Sales%20-%20General/Contracts/DISD/1%20-%20Agreements/2022%20Vendor%20Contact%20Renewal%20Forms/2024%20Renewal%20Letter%20KH-205563%20Viscosity%20North%20America.SIGNED.pdf" TargetMode="External"/><Relationship Id="rId42" Type="http://schemas.openxmlformats.org/officeDocument/2006/relationships/hyperlink" Target="../../Contracts/Oak%20Ridge%20National%20Laboratory/3%20-%20Accounting%20%26%20Purchase%20Orders/PO.4000207399.2023.EXA%20PATCHING.UPGRADE.htm" TargetMode="External"/><Relationship Id="rId63" Type="http://schemas.openxmlformats.org/officeDocument/2006/relationships/hyperlink" Target="../../Contracts/IQN/2%20-%20SOWs/Signed/EBS%20Migration%20and%20Upgrade%20SOW%20(provided%20by%20ViscosityNA)_encrypted_.pdf" TargetMode="External"/><Relationship Id="rId84" Type="http://schemas.openxmlformats.org/officeDocument/2006/relationships/hyperlink" Target="../../Contracts/Merit%20Medical/4%20-%20SOWs/Signed/Merit%20Medical%20Bucket%20of%20Hours.20220805.EXECUTED.pdf" TargetMode="External"/><Relationship Id="rId138" Type="http://schemas.openxmlformats.org/officeDocument/2006/relationships/hyperlink" Target="../../../../../../:b:/s/VNA-Sales/EXbSJNvU_nBGs9TVRa9VKOEBega2KwHXMssDpX6ECoL_DA?e=OrSdD8" TargetMode="External"/><Relationship Id="rId159" Type="http://schemas.openxmlformats.org/officeDocument/2006/relationships/hyperlink" Target="../../../../../../:b:/s/VNA-Sales/EdrUjdaOSbNAueuHzdcLZikBTIIyWCxGBjwz2XW6KIjFqQ?e=SUgVJt" TargetMode="External"/><Relationship Id="rId170" Type="http://schemas.openxmlformats.org/officeDocument/2006/relationships/hyperlink" Target="../../../../../../:b:/s/VNA-Sales/ERoBq3SZ-2hLlYxVkNkOaFIByZtQfnfna5XyQYCoMaegHA?e=tM3tSg" TargetMode="External"/><Relationship Id="rId191" Type="http://schemas.openxmlformats.org/officeDocument/2006/relationships/vmlDrawing" Target="../drawings/vmlDrawing2.vml"/><Relationship Id="rId107" Type="http://schemas.openxmlformats.org/officeDocument/2006/relationships/hyperlink" Target="../../Contracts/Region10/2%20-%20SOW/Signed/OCI%20Infrastructure%20Support%20and%20Maintenance.pdf" TargetMode="External"/><Relationship Id="rId11" Type="http://schemas.openxmlformats.org/officeDocument/2006/relationships/hyperlink" Target="../../Contracts/American%20Leather/2%20-%20SOWs/Signed/SOW_HRMS_and_Financial_Archiving..Executed.pdf" TargetMode="External"/><Relationship Id="rId32" Type="http://schemas.openxmlformats.org/officeDocument/2006/relationships/hyperlink" Target="../../Contracts/CTOT%20-%20Capital%20Title%20of%20Texas/2%20-%20SOWs/20220323145021615_CTOTsigned_2022.03.23.pdf" TargetMode="External"/><Relationship Id="rId53" Type="http://schemas.openxmlformats.org/officeDocument/2006/relationships/hyperlink" Target="../../Contracts/Transnetyx/4%20-%20SOWs/Transnetyx%20Managed%20Services%20Database%20Support%20SOW%20Renewal%202021.pdf" TargetMode="External"/><Relationship Id="rId74" Type="http://schemas.openxmlformats.org/officeDocument/2006/relationships/hyperlink" Target="../../Contracts/BMW/6%20-%20Accounting%20&amp;%20Purchase%20Orders/POF3RKHXJ.TRAINING%202022.SQL.APEX.PDF" TargetMode="External"/><Relationship Id="rId128" Type="http://schemas.openxmlformats.org/officeDocument/2006/relationships/hyperlink" Target="../../../../../../:b:/s/VNA-Sales/EXhhBD32CU1Fu8cC4ekyClIBp_hP3zuuvEfF9SfrcYDCag?e=QOAb4i" TargetMode="External"/><Relationship Id="rId149" Type="http://schemas.openxmlformats.org/officeDocument/2006/relationships/hyperlink" Target="../../../../../../:b:/s/VNA-Sales/ESEboapj5zFMrTWMjcezIsMBYhtiMOKpS1IuJbeVb4bDpA?e=WWuaFu" TargetMode="External"/><Relationship Id="rId5" Type="http://schemas.openxmlformats.org/officeDocument/2006/relationships/hyperlink" Target="../../Contracts/DISD/5%20-%20Accounting%20&amp;%20Purchase%20Orders/PO_102_924830_0_US.MGDSRVCS.2023%20RENEWAL.JULY12023.pdf" TargetMode="External"/><Relationship Id="rId95" Type="http://schemas.openxmlformats.org/officeDocument/2006/relationships/hyperlink" Target="../../Contracts/Computex/2%20-%20Subcontracts/Computex-Dresser/SOW/EBS%20MIGRATION/VNA.COMPUTEX.DRESSER%20UTILITY.EBS%20MIGRATION%20SOW.V3.20211104%20Signed.pdf" TargetMode="External"/><Relationship Id="rId160" Type="http://schemas.openxmlformats.org/officeDocument/2006/relationships/hyperlink" Target="../../../../../../:b:/s/VNA-Sales/EfpPfGH5SN1Oov03wTDlWiMBvx59IAJJmuq8zaBBV5ftOg?e=YK84IS" TargetMode="External"/><Relationship Id="rId181" Type="http://schemas.openxmlformats.org/officeDocument/2006/relationships/hyperlink" Target="../../../../../../:b:/s/VNA-Sales/EW5wDbyQohNHka3ihhITomYBAthgcnbCINa0-BV-mkRRgQ?e=q14fln" TargetMode="External"/><Relationship Id="rId22" Type="http://schemas.openxmlformats.org/officeDocument/2006/relationships/hyperlink" Target="../../Contracts/RIA-Nationwide/1%20-%20SOWs/Signed%20SOWs/Exhibit%20A%20-%20Statement%20of%20Work%20(Viscosity%20and%20NW)%20FINAL.docx%2005.25.2023.pdf" TargetMode="External"/><Relationship Id="rId43" Type="http://schemas.openxmlformats.org/officeDocument/2006/relationships/hyperlink" Target="../../Contracts/BDO-Harris%20County/2%20-%20SOW/Viscosity-HCTRA-ExadataCC-SOW%20v2.pdf" TargetMode="External"/><Relationship Id="rId64" Type="http://schemas.openxmlformats.org/officeDocument/2006/relationships/hyperlink" Target="../../Contracts/Excellus%20-%20BCBS/1%20-%20SOWs/Signed/Viscosity_SOW%207_XMLDB_V5_Final%20to%20Sign_090722.docx.pdf" TargetMode="External"/><Relationship Id="rId118" Type="http://schemas.openxmlformats.org/officeDocument/2006/relationships/hyperlink" Target="../../../../../../:w:/s/VNA-Sales/EVb9OxjyGpJOj4mJ7Mm5t9sBqrKjcMtFL_9GLqk5H9mJFQ?e=GiE9XG" TargetMode="External"/><Relationship Id="rId139" Type="http://schemas.openxmlformats.org/officeDocument/2006/relationships/hyperlink" Target="../../../../../../:b:/s/VNA-Sales/EX7Xm9vsLKxCjEVaoCbKbCcB7FuVjAIoN8gBbFbGl5mpWA?e=UZJKxm" TargetMode="External"/><Relationship Id="rId85" Type="http://schemas.openxmlformats.org/officeDocument/2006/relationships/hyperlink" Target="../../Contracts/Merit%20Medical/4%20-%20SOWs/Signed/2019.09.06%20-%20Viscocity%20MSA%20and%20SOW.pdf" TargetMode="External"/><Relationship Id="rId150" Type="http://schemas.openxmlformats.org/officeDocument/2006/relationships/hyperlink" Target="../../../../../../:b:/s/VNA-Sales/EYloc8_OJ-dPozpDokIKH2YBz17NeZVs63cPILtWZxPB4w?e=HC5LiJ" TargetMode="External"/><Relationship Id="rId171" Type="http://schemas.openxmlformats.org/officeDocument/2006/relationships/hyperlink" Target="../../../../../../:b:/s/VNA-Sales/Ef3qugAKnm9Ah83Kn46V3zYBKFegVUk7DUk_Z6iY-sn2Hw?e=cw1zb8" TargetMode="External"/><Relationship Id="rId192" Type="http://schemas.openxmlformats.org/officeDocument/2006/relationships/table" Target="../tables/table3.xml"/><Relationship Id="rId12" Type="http://schemas.openxmlformats.org/officeDocument/2006/relationships/hyperlink" Target="../../Contracts/Transnetyx/4%20-%20SOWs/Signed/Transnetyx%20Managed%20Services%20Database%20Support%20SOW%202024.docx.pdf" TargetMode="External"/><Relationship Id="rId33" Type="http://schemas.openxmlformats.org/officeDocument/2006/relationships/hyperlink" Target="../../Contracts/CTOT%20-%20Capital%20Title%20of%20Texas/2%20-%20SOWs/Viscosity_SOW_CapitalTitle_CRM_11132020%20(signed).pdf" TargetMode="External"/><Relationship Id="rId108" Type="http://schemas.openxmlformats.org/officeDocument/2006/relationships/hyperlink" Target="mailto:roger.hayes@region10.org" TargetMode="External"/><Relationship Id="rId129" Type="http://schemas.openxmlformats.org/officeDocument/2006/relationships/hyperlink" Target="../../../../../../:b:/s/VNA-Sales/EWBm6som3mhHldsHy2GOKdMB4M-mVpXSXWLJ6pwGGddtrQ?e=tdOcH6" TargetMode="External"/><Relationship Id="rId54" Type="http://schemas.openxmlformats.org/officeDocument/2006/relationships/hyperlink" Target="../../Contracts/Saracen%20Energy/2%20-%20SOW/Signed/852C5221-5653-4E48-9648-DED32512881A.Viscosity%20DBA.PDF" TargetMode="External"/><Relationship Id="rId75" Type="http://schemas.openxmlformats.org/officeDocument/2006/relationships/hyperlink" Target="../../Contracts/Texas-de-Brazil/4%20-%20SOWs/2021/TDB.TRANSFORM%20ENHANCEMENTS.SOW.NOV2021.docx?web=1" TargetMode="External"/><Relationship Id="rId96" Type="http://schemas.openxmlformats.org/officeDocument/2006/relationships/hyperlink" Target="../../Contracts/COE/4%20-%20SOWs/2019/COE_DBA_Sep_2019.docx?web=1" TargetMode="External"/><Relationship Id="rId140" Type="http://schemas.openxmlformats.org/officeDocument/2006/relationships/hyperlink" Target="../../../../../../:b:/s/VNA-Sales/ET6g2Ya_RwBMoH6UpXYybgUBhp7AMZRnFft7iXeepnSHgQ?e=HOSMtF" TargetMode="External"/><Relationship Id="rId161" Type="http://schemas.openxmlformats.org/officeDocument/2006/relationships/hyperlink" Target="../../../../../../:b:/s/VNA-Sales/Edgu7nRYfC5Olcl2uttB2vYBysp8CiNOvDrcf4JpblbMAA?e=L9kVSH" TargetMode="External"/><Relationship Id="rId182" Type="http://schemas.openxmlformats.org/officeDocument/2006/relationships/hyperlink" Target="../../../../../../:b:/s/VNA-Sales/Efd9zw70oLZJiCpuVRAJwawB4vxJl-3ay2dGL5h5YETkZw?e=OV6TLB" TargetMode="External"/><Relationship Id="rId6" Type="http://schemas.openxmlformats.org/officeDocument/2006/relationships/hyperlink" Target="../../Contracts/DISD/5%20-%20Accounting%20&amp;%20Purchase%20Orders/PO_102_933851_0_US.BOS%20FUSION%20MIGRATION.pdf" TargetMode="External"/><Relationship Id="rId23" Type="http://schemas.openxmlformats.org/officeDocument/2006/relationships/hyperlink" Target="../../Contracts/IdenTrust/3%20-%20Accounting%20&amp;%20Purchase%20Orders/2023/IDENTRUST%20Performance%20Tuning%202023%20PO-20069.pdf" TargetMode="External"/><Relationship Id="rId119" Type="http://schemas.openxmlformats.org/officeDocument/2006/relationships/hyperlink" Target="../../../../../../:b:/s/VNA-Sales/EaMphwt4YVNDuKaOKECtnisBI9ubQpajolLTluEkeW2OHw?e=FKs0UF" TargetMode="External"/><Relationship Id="rId44" Type="http://schemas.openxmlformats.org/officeDocument/2006/relationships/hyperlink" Target="../../Contracts/UMass%20Memorial/2%20-%20SOW/Viscosity%20North%20America%20Managed%20Services%20Proposal%20-%20Oracle%20Database%20Remote%20Support%20Services%2010-2020%20to%2010-2021%20(5980).pdf" TargetMode="External"/><Relationship Id="rId65" Type="http://schemas.openxmlformats.org/officeDocument/2006/relationships/hyperlink" Target="../../Contracts/Excellus%20-%20BCBS/1%20-%20SOWs/Signed/Excellus.SOW.NO6.CONTRACT%20ID%20EHP-6621.pdf" TargetMode="External"/><Relationship Id="rId86" Type="http://schemas.openxmlformats.org/officeDocument/2006/relationships/hyperlink" Target="../../Contracts/Merit%20Medical/4%20-%20SOWs/Signed/Merit%20Medical%20IO%20Performance%20Review%20SOW%20SIGNED.pdf" TargetMode="External"/><Relationship Id="rId130" Type="http://schemas.openxmlformats.org/officeDocument/2006/relationships/hyperlink" Target="../../../../../../:b:/s/VNA-Sales/EV0U-XB8GPJIktByqkd8xi8B1FMyzpp9-4IWzOghimlpqA?e=fKqjNk" TargetMode="External"/><Relationship Id="rId151" Type="http://schemas.openxmlformats.org/officeDocument/2006/relationships/hyperlink" Target="../../../../../../:w:/s/VNA-Sales/Ed3zUcJG0gVHjF3yko__vfsB4Nl5JzXYxCn4DVd_-G5DrQ?e=iTzOd7" TargetMode="External"/><Relationship Id="rId172" Type="http://schemas.openxmlformats.org/officeDocument/2006/relationships/hyperlink" Target="../../../../../../:b:/s/VNA-Sales/EdEGUILv1qFFjt7vP3NbwRQBiSk-wKzfM6hbhsRhFDC7hg?e=4Qp60N" TargetMode="External"/><Relationship Id="rId193" Type="http://schemas.openxmlformats.org/officeDocument/2006/relationships/comments" Target="../comments2.xml"/><Relationship Id="rId13" Type="http://schemas.openxmlformats.org/officeDocument/2006/relationships/hyperlink" Target="../../Contracts/Sports%20Medicine%20Research%20and%20Testing%20Lab/3%20-%20SOW/Signed/VNA-SOW-SMRTL-Phase01.20240110.docx.pdf" TargetMode="External"/><Relationship Id="rId109" Type="http://schemas.openxmlformats.org/officeDocument/2006/relationships/hyperlink" Target="mailto:roger.hayes@region10.org" TargetMode="External"/><Relationship Id="rId34" Type="http://schemas.openxmlformats.org/officeDocument/2006/relationships/hyperlink" Target="../../Contracts/National%20Mango%20Board/3%20-%20SOWS/Signed%20SOWs/Viscosity%20North%20America_Mango%20Volume%20Inventory%20System%20Consultant%20Agreement%202021.pdf" TargetMode="External"/><Relationship Id="rId50" Type="http://schemas.openxmlformats.org/officeDocument/2006/relationships/hyperlink" Target="../../Contracts/ABC%20Financial/6%20-%20Accounting%20&amp;%20Purchase%20Orders/Viscosity%20PO23-29200%202023-01-26.pdf" TargetMode="External"/><Relationship Id="rId55" Type="http://schemas.openxmlformats.org/officeDocument/2006/relationships/hyperlink" Target="../../Contracts/Clario/3%20-%20Accounting%20&amp;%20Purchase%20Orders/Viscosity_PO_550_101102037_01Nov22_US.pdf" TargetMode="External"/><Relationship Id="rId76" Type="http://schemas.openxmlformats.org/officeDocument/2006/relationships/hyperlink" Target="../../Contracts/RIA/4%20-%20SOWs/Signed%20SOWs/RIA%2019c%20Upgrade%20Signed.pdf" TargetMode="External"/><Relationship Id="rId97" Type="http://schemas.openxmlformats.org/officeDocument/2006/relationships/hyperlink" Target="../../Contracts/AHA/2%20-%20SOWs/2022/121240_S08_Viscosity_North_America.pdf" TargetMode="External"/><Relationship Id="rId104" Type="http://schemas.openxmlformats.org/officeDocument/2006/relationships/hyperlink" Target="mailto:Mark.Benson@sanofi.com" TargetMode="External"/><Relationship Id="rId120" Type="http://schemas.openxmlformats.org/officeDocument/2006/relationships/hyperlink" Target="../../../../../../:b:/s/VNA-Sales/EU2VhPJPVgRKt4q-QsfptkoBpgGKhWssD__4p_TT4ky5FA?e=MxFp99" TargetMode="External"/><Relationship Id="rId125" Type="http://schemas.openxmlformats.org/officeDocument/2006/relationships/hyperlink" Target="../../../../../../:b:/s/VNA-Sales/Ead7sTgbtjFJqD75B8mITusBt5OSca_D6W7qxWRQbapxbw?e=5hTG3w" TargetMode="External"/><Relationship Id="rId141" Type="http://schemas.openxmlformats.org/officeDocument/2006/relationships/hyperlink" Target="../../../../../../:b:/s/VNA-Sales/EXmbk1AvxAJAgCctLtNSx_0BoaAt3Chupr6Q-qb3ct_52A?e=Wv4TVF" TargetMode="External"/><Relationship Id="rId146" Type="http://schemas.openxmlformats.org/officeDocument/2006/relationships/hyperlink" Target="../../../../../../:b:/s/VNA-Sales/EWunVm05z6BIshGrmnGQn70BrHGrJZK0vVYia72m4I3dVQ?e=oH29wn" TargetMode="External"/><Relationship Id="rId167" Type="http://schemas.openxmlformats.org/officeDocument/2006/relationships/hyperlink" Target="../../../../../../:b:/s/VNA-Sales/EX7Xm9vsLKxCjEVaoCbKbCcB7FuVjAIoN8gBbFbGl5mpWA?e=bFOmyj" TargetMode="External"/><Relationship Id="rId188" Type="http://schemas.openxmlformats.org/officeDocument/2006/relationships/hyperlink" Target="../../../../../../:b:/s/VNA-Sales/ESy46-OHfpFFvtj_onvQC5IBzkN07g2OwzzE9AYK5ETBog?e=UhVL7Y" TargetMode="External"/><Relationship Id="rId7" Type="http://schemas.openxmlformats.org/officeDocument/2006/relationships/hyperlink" Target="../../Contracts/DISD/4%20-%20SOWs/Managed%20Services/2023/DISD-_BOS_Managed-Services-SOW.2023.75_Hours.v2.docx.pdf" TargetMode="External"/><Relationship Id="rId71" Type="http://schemas.openxmlformats.org/officeDocument/2006/relationships/hyperlink" Target="../../Contracts/Dominion%20Energy/4%20-%20Accounting%20%26%20Purchase%20Orders/50162797%20Viscosity%20Change%20Order%201.VNA%20SIGNED.PDF" TargetMode="External"/><Relationship Id="rId92" Type="http://schemas.openxmlformats.org/officeDocument/2006/relationships/hyperlink" Target="../../Contracts/FNF/2-%20SOWs/Signed%20SOW's/SOW2019cUpgradeTRAXv6_Finalv2.docx.pdf" TargetMode="External"/><Relationship Id="rId162" Type="http://schemas.openxmlformats.org/officeDocument/2006/relationships/hyperlink" Target="../../../../../../:b:/s/VNA-Sales/Ealz3aq4wpxBk4zTiNTfnyYByi0M2V_koTnxpvNqP-1u-w?e=Am5CCd" TargetMode="External"/><Relationship Id="rId183" Type="http://schemas.openxmlformats.org/officeDocument/2006/relationships/hyperlink" Target="../../../../../../:b:/s/VNA-Sales/Ec4Wy01v2n9FmOe2uSfpGfMB17ORQsLzT5VpFEwybl4-8g?e=dTtfK7" TargetMode="External"/><Relationship Id="rId2" Type="http://schemas.openxmlformats.org/officeDocument/2006/relationships/hyperlink" Target="../../Contracts/Rent-A-Center%20(RAC)/2-%20SOW/RAC%20Performance%20Assessment.docx?web=1" TargetMode="External"/><Relationship Id="rId29" Type="http://schemas.openxmlformats.org/officeDocument/2006/relationships/hyperlink" Target="../../Contracts/CAP/2%20-%20SOWs/2023/Viscosity%20SOW%202023%20for%20DB%20Migration-V1.0.docx" TargetMode="External"/><Relationship Id="rId24" Type="http://schemas.openxmlformats.org/officeDocument/2006/relationships/hyperlink" Target="../../Contracts/IdenTrust/2%20-%20SOWs/Signed%20SOWs/IdenTrust%20Retainer%20Services%20-%20Schedule%20A%20VT%20-%20Signed.pdf" TargetMode="External"/><Relationship Id="rId40" Type="http://schemas.openxmlformats.org/officeDocument/2006/relationships/hyperlink" Target="../../Contracts/Sherwin%20Williams/2%20-%20SOWs/Managed%20Services/Please_DocuSign_Viscosity_-_Horizon_Barcodep.pdf" TargetMode="External"/><Relationship Id="rId45" Type="http://schemas.openxmlformats.org/officeDocument/2006/relationships/hyperlink" Target="../../Contracts/DISD/5%20-%20Accounting%20&amp;%20Purchase%20Orders/PO_102_922103_0_US.APEX%20RENEWAL.2023.pdf" TargetMode="External"/><Relationship Id="rId66" Type="http://schemas.openxmlformats.org/officeDocument/2006/relationships/hyperlink" Target="../../Contracts/MountainWest%20Pipeline/2%20-%20SOWs/Executed/Project%20Jazz%20-%20Viscosity%20SoW%20-%20signed.pdf" TargetMode="External"/><Relationship Id="rId87" Type="http://schemas.openxmlformats.org/officeDocument/2006/relationships/hyperlink" Target="../../Contracts/Merit%20Energy/2%20-%20SOWs/2021/SuSe%20Upgrade%202021%20SoW%20v1%200-%20signed.pdf" TargetMode="External"/><Relationship Id="rId110" Type="http://schemas.openxmlformats.org/officeDocument/2006/relationships/hyperlink" Target="mailto:ramon.rammell@dominionenergy.com" TargetMode="External"/><Relationship Id="rId115" Type="http://schemas.openxmlformats.org/officeDocument/2006/relationships/hyperlink" Target="../../../../../../:b:/s/VNA-Sales/EWWMkPXy4TNElIf3Ull4e_MBVlGe5fnzA8mFicYiRA0OcQ?e=Tu68UO" TargetMode="External"/><Relationship Id="rId131" Type="http://schemas.openxmlformats.org/officeDocument/2006/relationships/hyperlink" Target="../../../../../../:b:/s/VNA-Sales/ERxvGvuW-ZNLt_9lFMZxcaYBXqWLatAgqxPNNkkgzCxyKg?e=oAFWB6" TargetMode="External"/><Relationship Id="rId136" Type="http://schemas.openxmlformats.org/officeDocument/2006/relationships/hyperlink" Target="../../../../../../:b:/s/VNA-Sales/EdMK-vh-PEtIoZveqbeBBfcBg8bWWLuMl5Hi3xjkDTjP9A?e=jL7GbH" TargetMode="External"/><Relationship Id="rId157" Type="http://schemas.openxmlformats.org/officeDocument/2006/relationships/hyperlink" Target="../../../../../../:b:/s/VNA-Sales/EfZzD4LfcKNLqhssyh8iqlUBOBLl0CNrQhjsiRpoSqqENA?e=CVWrWY" TargetMode="External"/><Relationship Id="rId178" Type="http://schemas.openxmlformats.org/officeDocument/2006/relationships/hyperlink" Target="../../../../../../:b:/s/VNA-Sales/EfBXpJmqV2hBumh6vPvzyzkB4BNmpv-t8PcLUz-IOVwWNg?e=a1TTW4" TargetMode="External"/><Relationship Id="rId61" Type="http://schemas.openxmlformats.org/officeDocument/2006/relationships/hyperlink" Target="../../Contracts/Oak%20Ridge%20National%20Laboratory/2%20-%20SOWs/VNA%20ORNL%20Exa%20Patching%20and%20Upgrade%2019c%20v20220728%5b56%5d.EXECUTED.pdf" TargetMode="External"/><Relationship Id="rId82" Type="http://schemas.openxmlformats.org/officeDocument/2006/relationships/hyperlink" Target="../../Contracts/NeoSystems/4%20-%20SOWs/Signed%20SOWs/ViscosityNA%20NeoSystems%20SoW%20May-2018%20accepted-countersigned.pdf" TargetMode="External"/><Relationship Id="rId152" Type="http://schemas.openxmlformats.org/officeDocument/2006/relationships/hyperlink" Target="../../../../../../:b:/s/VNA-Sales/Eb8Dc1S1JPdJvozJujcpSLoBXUmfJs0bmZ3nFIQQhjhzJg?e=liGLPb" TargetMode="External"/><Relationship Id="rId173" Type="http://schemas.openxmlformats.org/officeDocument/2006/relationships/hyperlink" Target="../../../../../../:b:/s/VNA-Sales/EcCf2kzn6KRDgXzbbx20cN8BQOnuzxp5CSWtzYumWHmtJA?e=o5rddg" TargetMode="External"/><Relationship Id="rId194" Type="http://schemas.microsoft.com/office/2017/10/relationships/threadedComment" Target="../threadedComments/threadedComment2.xml"/><Relationship Id="rId19" Type="http://schemas.openxmlformats.org/officeDocument/2006/relationships/hyperlink" Target="../../../../../../OneDrive%20-%20Viscosity%20North%20America,%20Inc/General/Contracts/ABC%20Fitness%20Solutions/4%20-%20SOWs/Signed/VNA.ABC_Professional%20Services_SoW_Q4%202023.docx.pdf" TargetMode="External"/><Relationship Id="rId14" Type="http://schemas.openxmlformats.org/officeDocument/2006/relationships/hyperlink" Target="../../Contracts/ABC%20Fitness%20Solutions/4%20-%20SOWs/Signed/VNA.ABC.Support%20Services%20SoW.EDW%20Monitoring.Offshore.2024Jan-Jun.docx.pdf" TargetMode="External"/><Relationship Id="rId30" Type="http://schemas.openxmlformats.org/officeDocument/2006/relationships/hyperlink" Target="../../Contracts/MountainWest%20Pipeline/3%20-%20POs/RE_%20EXTERNAL_%20RE_%20MWP%20_%20January%202023%20Billing.pdf" TargetMode="External"/><Relationship Id="rId35" Type="http://schemas.openxmlformats.org/officeDocument/2006/relationships/hyperlink" Target="../../Contracts/AssetWorks/2%20-%20SOW/Asset%20Works%20Database%20and%20AOP%20Assessment%20SOW.docx" TargetMode="External"/><Relationship Id="rId56" Type="http://schemas.openxmlformats.org/officeDocument/2006/relationships/hyperlink" Target="../../Contracts/WWCT/4%20-%20SOWs/Signed%20SOWs/2023/Worldwide_Clinical_Trials_Managed_Services_Database_Support_SOW_April_2023__5-16_Updates.docx.pdf" TargetMode="External"/><Relationship Id="rId77" Type="http://schemas.openxmlformats.org/officeDocument/2006/relationships/hyperlink" Target="../../Contracts/RIA-Nationwide/1%20-%20SOWs/Signed%20SOWs/RIA-Managed%20Services%20Proposal_final.pdf" TargetMode="External"/><Relationship Id="rId100" Type="http://schemas.openxmlformats.org/officeDocument/2006/relationships/hyperlink" Target="../../Contracts/ABC%20Financial/4%20-%20SOWs/Please_DocuSign_Viscosity_FBI_-_Optimization.pdf" TargetMode="External"/><Relationship Id="rId105" Type="http://schemas.openxmlformats.org/officeDocument/2006/relationships/hyperlink" Target="../../Contracts/Sanofi/2-%20SOW/Executed/Sanofi_SOW-Data%20Guard_20231002.docx.pdf" TargetMode="External"/><Relationship Id="rId126" Type="http://schemas.openxmlformats.org/officeDocument/2006/relationships/hyperlink" Target="../../../../../../:b:/s/VNA-Sales/Ealz3aq4wpxBk4zTiNTfnyYByi0M2V_koTnxpvNqP-1u-w?e=06FB26" TargetMode="External"/><Relationship Id="rId147" Type="http://schemas.openxmlformats.org/officeDocument/2006/relationships/hyperlink" Target="../../../../../../:b:/s/VNA-Sales/EXbSJNvU_nBGs9TVRa9VKOEBega2KwHXMssDpX6ECoL_DA?e=vzkYrs" TargetMode="External"/><Relationship Id="rId168" Type="http://schemas.openxmlformats.org/officeDocument/2006/relationships/hyperlink" Target="../../../../../../:b:/s/VNA-Sales/Eeh3q1RMGJFHuuu7xBKFvfIBrzhgExPfmzSvclAAEi4heg?e=C60fot" TargetMode="External"/><Relationship Id="rId8" Type="http://schemas.openxmlformats.org/officeDocument/2006/relationships/hyperlink" Target="../../Contracts/DISD/4%20-%20SOWs/Professional%20Services/DISD_BOS-_Fusion_Migration.OCT2023.signed.docx.pdf" TargetMode="External"/><Relationship Id="rId51" Type="http://schemas.openxmlformats.org/officeDocument/2006/relationships/hyperlink" Target="../../Contracts/WWCT/6%20-%20Accounting%20&amp;%20Purchase%20Orders/PO1004340%20Viscosity%20Managed%20Services%202023.pdf" TargetMode="External"/><Relationship Id="rId72" Type="http://schemas.openxmlformats.org/officeDocument/2006/relationships/hyperlink" Target="../../Contracts/Dominion%20Energy/4%20-%20Accounting%20%26%20Purchase%20Orders/50162702%20DEQP%20Mobile%20Pipeline-%20Staff%20Aug-Purchase%20Order.Executed%20PO6MOS..PDF" TargetMode="External"/><Relationship Id="rId93" Type="http://schemas.openxmlformats.org/officeDocument/2006/relationships/hyperlink" Target="../../Contracts/Florida%20Realtors/4%20-%20SOWs/Signed%20SOWs/Florida%20Realtors%20Monitoring%20Support%20Renewal%20Oct%202022%20-%20Signed.pdf" TargetMode="External"/><Relationship Id="rId98" Type="http://schemas.openxmlformats.org/officeDocument/2006/relationships/hyperlink" Target="../../Contracts/Airport%20Terminal%20Services/4%20-%20SOWs/2019/Oracle%20Fusion%20Managed%20services%20signed.pdf" TargetMode="External"/><Relationship Id="rId121" Type="http://schemas.openxmlformats.org/officeDocument/2006/relationships/hyperlink" Target="../../../../../../:b:/s/VNA-Sales/EY4roQgft0RGpSdBRF-AobAB1UImCEpSYa9wGnOyCD8FZA?e=DZA8et" TargetMode="External"/><Relationship Id="rId142" Type="http://schemas.openxmlformats.org/officeDocument/2006/relationships/hyperlink" Target="../../../../../../:b:/s/VNA-Sales/EVC3dmgNsb5Fuo9o8jO2NzsB8QWlbnBakK18qGC_WsE3Vg?e=A6VCqK" TargetMode="External"/><Relationship Id="rId163" Type="http://schemas.openxmlformats.org/officeDocument/2006/relationships/hyperlink" Target="../../../../../../:b:/s/VNA-Sales/EZQTbr6AzvZIrVZ2TS8HS1MBy8rjuLQJaCE2IjU2QKgdgA?e=u6WEbm" TargetMode="External"/><Relationship Id="rId184" Type="http://schemas.openxmlformats.org/officeDocument/2006/relationships/hyperlink" Target="../../../../../../:b:/s/VNA-Sales/EXNqbJ_ARC9PpKVPi8Hjc7ABkLbMsBMIU1uG322rfjNnzQ?e=sfK7jK" TargetMode="External"/><Relationship Id="rId189" Type="http://schemas.openxmlformats.org/officeDocument/2006/relationships/hyperlink" Target="../../../../../../:b:/s/VNA-Sales/EcGdhgN3gS5MhezOkNFGNxoB78sCJgMMG3eOT4arAU0Gmg?e=pF4Sgg" TargetMode="External"/><Relationship Id="rId3" Type="http://schemas.openxmlformats.org/officeDocument/2006/relationships/hyperlink" Target="../../Contracts/Follett/Follett%20School%20Solutions%20LLC%20(Oracle%20EBS)/2%20-%20SOWs/Signed%20SOW/Follett%20Managed%20Services%20Database%20Support%20SOW%2002MAY.V4%20Follett%20edits%20v1%20(5.18.2022)%20Changes%20Accepted%20(002).pdf" TargetMode="External"/><Relationship Id="rId25" Type="http://schemas.openxmlformats.org/officeDocument/2006/relationships/hyperlink" Target="../../Contracts/Clario/2%20-%20SOWs/SIGNED/Clario_Linux_Unix_ODA_Managed_Services_SOW.v3.ADDENDUM.20221122.13.19.docx.pdf" TargetMode="External"/><Relationship Id="rId46" Type="http://schemas.openxmlformats.org/officeDocument/2006/relationships/hyperlink" Target="../../Contracts/Computex/2%20-%20Subcontracts/POs/PO223602M-Callian.DRESSER%20EBS%20Migration%20Assessment.01102023.pdf" TargetMode="External"/><Relationship Id="rId67" Type="http://schemas.openxmlformats.org/officeDocument/2006/relationships/hyperlink" Target="../../Contracts/National%20Mango%20Board/3%20-%20SOWS/SOW%20-%20NMB_Custom%20APEX%20Training_June%202022.docx?web=1" TargetMode="External"/><Relationship Id="rId116" Type="http://schemas.openxmlformats.org/officeDocument/2006/relationships/hyperlink" Target="../../../../../../:b:/s/VNA-Sales/Ea_Es765TtJHj5e_IGMUoIUB42PG4dNbrfKFbKN6TjlfFA?e=rJunN9" TargetMode="External"/><Relationship Id="rId137" Type="http://schemas.openxmlformats.org/officeDocument/2006/relationships/hyperlink" Target="../../../../../../:b:/s/VNA-Sales/EZQTbr6AzvZIrVZ2TS8HS1MBy8rjuLQJaCE2IjU2QKgdgA?e=Be69oU" TargetMode="External"/><Relationship Id="rId158" Type="http://schemas.openxmlformats.org/officeDocument/2006/relationships/hyperlink" Target="../../../../../../:b:/s/VNA-Sales/EW1Q5B5wA4JMlqxwz4t6G0sB37KKnd6URzCGbiUKt_romw?e=YuOqZF" TargetMode="External"/><Relationship Id="rId20" Type="http://schemas.openxmlformats.org/officeDocument/2006/relationships/hyperlink" Target="../../../../../../../../../../../../../../../../../../../../../../../../../../../leisa/Viscosity%20North%20America,%20Inc/VNA-%20Sales%20-%20General/Contracts/MountainWest%20Pipeline/2%20-%20SOWs/Executed/MOUNTAINWEST_PIPELINE.VNA.RETAINER.JUNE2023.docx.pdf" TargetMode="External"/><Relationship Id="rId41" Type="http://schemas.openxmlformats.org/officeDocument/2006/relationships/hyperlink" Target="../../Contracts/Sherwin%20Williams/2%20-%20SOWs/Managed%20Services/Fwd_%20The%20Sherwin-Williams%20Company%20Purchase%20Order" TargetMode="External"/><Relationship Id="rId62" Type="http://schemas.openxmlformats.org/officeDocument/2006/relationships/hyperlink" Target="../../Contracts/CACI-%20FKA-%20LGS%20Innovations/2%20-%20SOWs/Signed%202022-2023/KURT%20Statement%20of%20Work%20(SOW)%20Viscosity%20for%20Sign_6DEC2022%20-%20signed.pdf" TargetMode="External"/><Relationship Id="rId83" Type="http://schemas.openxmlformats.org/officeDocument/2006/relationships/hyperlink" Target="../../Contracts/Neiman%20Marcus/2%20-%20SOWs/Signed%20SOWs/Viscosity%20VMO-5813%20ODA%20Migration%20SOW.July2022.docx.pdf" TargetMode="External"/><Relationship Id="rId88" Type="http://schemas.openxmlformats.org/officeDocument/2006/relationships/hyperlink" Target="../../Contracts/Jiffy%20Lube/1%20-%20SOWs/Signed%20SOWs/Jiffy_Lube_DW_Solution_%26_Data_Resiliency_analysis_SOW.v2.1.docx.pdf" TargetMode="External"/><Relationship Id="rId111" Type="http://schemas.openxmlformats.org/officeDocument/2006/relationships/hyperlink" Target="mailto:ramon.rammell@dominionenergy.com" TargetMode="External"/><Relationship Id="rId132" Type="http://schemas.openxmlformats.org/officeDocument/2006/relationships/hyperlink" Target="../../../../../../:b:/s/VNA-Sales/Ea_YNfW0LVZCiEYnzl0wuRMBQ9J0jmI1xJxapTESXkVepQ?e=l1s97S" TargetMode="External"/><Relationship Id="rId153" Type="http://schemas.openxmlformats.org/officeDocument/2006/relationships/hyperlink" Target="../../../../../../:b:/s/VNA-Sales/Ec4Wy01v2n9FmOe2uSfpGfMB17ORQsLzT5VpFEwybl4-8g?e=6fVCSc" TargetMode="External"/><Relationship Id="rId174" Type="http://schemas.openxmlformats.org/officeDocument/2006/relationships/hyperlink" Target="../../../../../../:b:/s/VNA-Sales/EdZq7BnV4opHtUoN4j_exWsB4MUzoQht5CCpDFdhOpl_Yg?e=a8RXSU" TargetMode="External"/><Relationship Id="rId179" Type="http://schemas.openxmlformats.org/officeDocument/2006/relationships/hyperlink" Target="../../../../../../:b:/s/VNA-Sales/EduH9sbOP9xPkGMmogo1OUQBOgPgHFa5Ap203UMprRjNpQ?e=nGZpJx" TargetMode="External"/><Relationship Id="rId190" Type="http://schemas.openxmlformats.org/officeDocument/2006/relationships/printerSettings" Target="../printerSettings/printerSettings2.bin"/><Relationship Id="rId15" Type="http://schemas.openxmlformats.org/officeDocument/2006/relationships/hyperlink" Target="../../Contracts/ABC%20Fitness%20Solutions/4%20-%20SOWs/Signed/VNA.ABC.Professional%20Services.SoW.2024Jan-Jun.docx.pdf" TargetMode="External"/><Relationship Id="rId36" Type="http://schemas.openxmlformats.org/officeDocument/2006/relationships/hyperlink" Target="../../Contracts/Athenian%20-%20LA%20Metro/2%20-%20SOWS/Signed/AG.LA%20METRO.DATA%20INPUT%20AUTOMATION.MARCH%202023.docx.pdf" TargetMode="External"/><Relationship Id="rId57" Type="http://schemas.openxmlformats.org/officeDocument/2006/relationships/hyperlink" Target="../../Contracts/Centene%20-%20%5bformerly%20Wellcare%5d%20-%20%5bformerly%20Meridian%20(Caidan)%5d/8%20-%20Archive/Wellcare/2%20-%20SOWs/Signed%20SOWs/Exadata%20Optimization%20and%20Professional%20Services%20Q3-42021%20CENTENE%20v3.2%20%20-%20signed.pdf" TargetMode="External"/><Relationship Id="rId106" Type="http://schemas.openxmlformats.org/officeDocument/2006/relationships/hyperlink" Target="../../Contracts/Region10/2%20-%20SOW/Signed/Viscosity%20SOW%20%26%20Contract%20-%20Final.Intelligent%20TJN.pdf" TargetMode="External"/><Relationship Id="rId127" Type="http://schemas.openxmlformats.org/officeDocument/2006/relationships/hyperlink" Target="../../../../../../:b:/s/VNA-Sales/EQN11q4nYLFJl2t78KofOxoBqNtv5oOHRKrLUkmWFvjgxQ?e=odcKqK" TargetMode="External"/><Relationship Id="rId10" Type="http://schemas.openxmlformats.org/officeDocument/2006/relationships/hyperlink" Target="../../Contracts/NGCSI/2%20-%20SOW/NGCSI.VNA.Enterprise%20Asset%20Management%20System.SOW.JULY2023.pdf" TargetMode="External"/><Relationship Id="rId31" Type="http://schemas.openxmlformats.org/officeDocument/2006/relationships/hyperlink" Target="../../Contracts/DISD/4%20-%20SOWs/2023/DISD-_BOS_Managed-Services-SOW.2023.75_Hours.docx.pdf" TargetMode="External"/><Relationship Id="rId52" Type="http://schemas.openxmlformats.org/officeDocument/2006/relationships/hyperlink" Target="../../Contracts/CACI-%20FKA-%20LGS%20Innovations/2%20-%20SOWs/Signed%202022-2023/KURT%20Statement%20of%20Work%20(SOW)%20Viscosity%20for%20Sign_6DEC2022%20-%20signed.pdf" TargetMode="External"/><Relationship Id="rId73" Type="http://schemas.openxmlformats.org/officeDocument/2006/relationships/hyperlink" Target="../../Contracts/DISD/5%20-%20Accounting%20%26%20Purchase%20Orders/PO%20862363-%20Viscosity.License%20Assessment%202022.pdf" TargetMode="External"/><Relationship Id="rId78" Type="http://schemas.openxmlformats.org/officeDocument/2006/relationships/hyperlink" Target="../../Contracts/RDS/4%20-%20SOWs/Signed%20SOWs/Viscosity%20x%20RDS.pdf" TargetMode="External"/><Relationship Id="rId94" Type="http://schemas.openxmlformats.org/officeDocument/2006/relationships/hyperlink" Target="../../Contracts/BOT/4%20-%20SOWs/BOT.APEX%20Timekeeping.Managed-Services-SOW.20220808.docx?web=1" TargetMode="External"/><Relationship Id="rId99" Type="http://schemas.openxmlformats.org/officeDocument/2006/relationships/hyperlink" Target="../../Contracts/ABC%20Financial/4%20-%20SOWs/ABC.Pro%20Services-Performance%20Tuning%20Break-Fix%20Troubleshooting_SOW_v2022.03.01_v1%20-%20Signed.pdf" TargetMode="External"/><Relationship Id="rId101" Type="http://schemas.openxmlformats.org/officeDocument/2006/relationships/hyperlink" Target="../../Contracts/ACGI/3%20-%20SOWs/2018%20Proposal/SOW-ACGI%20-%20On%20Demand%20Consulting.pdf" TargetMode="External"/><Relationship Id="rId122" Type="http://schemas.openxmlformats.org/officeDocument/2006/relationships/hyperlink" Target="../../../../../../:w:/s/VNA-Sales/ERojC1Sp7AlLuenqu4Z8xtYBOFpVmKzkMlxr67SKqi6Cpg?e=aNsNjh" TargetMode="External"/><Relationship Id="rId143" Type="http://schemas.openxmlformats.org/officeDocument/2006/relationships/hyperlink" Target="../../../../../../:b:/s/VNA-Sales/Ea3VO3_9CpREpywsCBUXiSUBQxD1f9Q6qn0evoYFaQ0AMg?e=dLl6bc" TargetMode="External"/><Relationship Id="rId148" Type="http://schemas.openxmlformats.org/officeDocument/2006/relationships/hyperlink" Target="../../../../../../:b:/s/VNA-Sales/EdrcF_3yl4xMt1QvHXuKNMsBFOmmJ4jyTtLTjlsRinRNbg?e=72GYAO" TargetMode="External"/><Relationship Id="rId164" Type="http://schemas.openxmlformats.org/officeDocument/2006/relationships/hyperlink" Target="../../../../../../:b:/s/VNA-Sales/Ee7vQUqq3cxMhg5UMXdgAVUBRjzeNtW0xil-p47LfsIqAw?e=ilVdBs" TargetMode="External"/><Relationship Id="rId169" Type="http://schemas.openxmlformats.org/officeDocument/2006/relationships/hyperlink" Target="../../../../../../:b:/s/VNA-Sales/Ed_XuaCh9WpNrqtx20AvwDMBVHPd_OcL5bF8J0SgKnDvXA?e=TivdAB" TargetMode="External"/><Relationship Id="rId185" Type="http://schemas.openxmlformats.org/officeDocument/2006/relationships/hyperlink" Target="../../../../../../:b:/s/VNA-Sales/EQQvSGRXxXpOkF8gFvoB6pIBos6tFRZX9Ak-GTUq-3gXeA?e=agSvdu" TargetMode="External"/><Relationship Id="rId4" Type="http://schemas.openxmlformats.org/officeDocument/2006/relationships/hyperlink" Target="../../Contracts/Follett/Follett%20School%20Solutions%20LLC%20(Oracle%20EBS)/2%20-%20SOWs/Signed%20SOW/Follett%20School%20Solutions%20LLC%20MS%20Change%20Order%20Jan%202024%20FINAL.docx.pdf" TargetMode="External"/><Relationship Id="rId9" Type="http://schemas.openxmlformats.org/officeDocument/2006/relationships/hyperlink" Target="../../Contracts/American%20Leather/2%20-%20SOWs/Signed/SOW.American%20Leather.StaffAug.Deployment.Performance%20Enhancement%20EBS%20Views%20for%20Financial%20Data%20Wareho.pdf" TargetMode="External"/><Relationship Id="rId180" Type="http://schemas.openxmlformats.org/officeDocument/2006/relationships/hyperlink" Target="../../../../../../:b:/s/VNA-Sales/EbvNr1SbREpPng8pPdIDmf0BrrDDSSfSlRFdjm2s-dMcVg?e=Z3cGol" TargetMode="External"/><Relationship Id="rId26" Type="http://schemas.openxmlformats.org/officeDocument/2006/relationships/hyperlink" Target="../../Contracts/Sanofi/2-%20SOW/Executed/Sanofi_SOW-InfrastructureAnalysis_20230511.docx.pdf" TargetMode="External"/><Relationship Id="rId47" Type="http://schemas.openxmlformats.org/officeDocument/2006/relationships/hyperlink" Target="../../Contracts/Computex/2%20-%20Subcontracts/Computex-Dresser/SOW/CIMJET%20ASSESSMENT/VNA.COMPUTEX.DRESSER%20UTILITY.CIMJIT%20ASSESSMENT.10042022%20Signed.pdf" TargetMode="External"/><Relationship Id="rId68" Type="http://schemas.openxmlformats.org/officeDocument/2006/relationships/hyperlink" Target="../../Contracts/Clario/1%20-%20Agreements/SIGNED/Clario_Linux_Unix_ODA_Managed_Services_SOW.v3.20220715.FINAL.docx.pdf" TargetMode="External"/><Relationship Id="rId89" Type="http://schemas.openxmlformats.org/officeDocument/2006/relationships/hyperlink" Target="../../Contracts/IN-N-Out/4%20-%20SOWs/Signed%20SOWs/INO%20SOW%207.8.2022.EXECUTED%20(1).pdf" TargetMode="External"/><Relationship Id="rId112" Type="http://schemas.openxmlformats.org/officeDocument/2006/relationships/hyperlink" Target="../../Contracts/COE/4%20-%20SOWs/2023/COE.APEX%20REMOTE%20SUPPORT%20SERVICES.SOW.2024.EXECUTED.pdf" TargetMode="External"/><Relationship Id="rId133" Type="http://schemas.openxmlformats.org/officeDocument/2006/relationships/hyperlink" Target="../../../../../../:b:/s/VNA-Sales/Ecza9TkD1hlPvkIunnI3DIEBBG3KNQwtMy6steVezhgw6w?e=qorXvI" TargetMode="External"/><Relationship Id="rId154" Type="http://schemas.openxmlformats.org/officeDocument/2006/relationships/hyperlink" Target="../../../../../../:b:/s/VNA-Sales/Efu7B5hYMoJItgnA5GnGPswB8UKBbOTyP2gk4seAYvHnsQ?e=VfqgKg" TargetMode="External"/><Relationship Id="rId175" Type="http://schemas.openxmlformats.org/officeDocument/2006/relationships/hyperlink" Target="../../../../../../:b:/s/VNA-Sales/ERE2EpbvCGBOudetecRhYywBeS2KPK7eJav0ycuLWkKi3g?e=rw8Hog" TargetMode="External"/><Relationship Id="rId16" Type="http://schemas.openxmlformats.org/officeDocument/2006/relationships/hyperlink" Target="../../Contracts/ABC%20Fitness%20Solutions/4%20-%20SOWs/Signed/VNA.ABC.Support%20Services%20SoW.Offshore%20DBA.2024Mar-Dec.docx.pdf" TargetMode="External"/><Relationship Id="rId37" Type="http://schemas.openxmlformats.org/officeDocument/2006/relationships/hyperlink" Target="../../Contracts/American%20Leather/2%20-%20SOWs/Signed/SOW.AMERICAN%20LEATHER.VNA%20STAFF%20AUGUMENTATION.APR2023.docx.pdf" TargetMode="External"/><Relationship Id="rId58" Type="http://schemas.openxmlformats.org/officeDocument/2006/relationships/hyperlink" Target="../../Contracts/US%20Renal%20Care/4%20-%20SOWs/Signed/Managed%20Database%20Support%20US%20Renal%20Care-2%20(1).pdf" TargetMode="External"/><Relationship Id="rId79" Type="http://schemas.openxmlformats.org/officeDocument/2006/relationships/hyperlink" Target="../../Contracts/Record%20Deposition%20Service%20(RDS)/2%20-%20SOWs/Signed%20SOWs/DOC012121-01212021101936.pdf" TargetMode="External"/><Relationship Id="rId102" Type="http://schemas.openxmlformats.org/officeDocument/2006/relationships/hyperlink" Target="mailto:kris.f@lamartrailers.com" TargetMode="External"/><Relationship Id="rId123" Type="http://schemas.openxmlformats.org/officeDocument/2006/relationships/hyperlink" Target="../../../../../../:w:/s/VNA-Sales/EQJjvRJdbXdJmOe3YNYqC28BHFprx09sVjkbyP9zcwnhjw?e=ytyIw7" TargetMode="External"/><Relationship Id="rId144" Type="http://schemas.openxmlformats.org/officeDocument/2006/relationships/hyperlink" Target="../../../../../../:b:/s/VNA-Sales/EZMg1df96QhNhUHp70JCvOcBS-uYl_8bCED5cZM_01QwNQ?e=WScxaS" TargetMode="External"/><Relationship Id="rId90" Type="http://schemas.openxmlformats.org/officeDocument/2006/relationships/hyperlink" Target="../../Contracts/IdenTrust/2%20-%20SOWs/2023/IdenTrust%20DB%20Patching%202023.docx?web=1" TargetMode="External"/><Relationship Id="rId165" Type="http://schemas.openxmlformats.org/officeDocument/2006/relationships/hyperlink" Target="../../../../../../:b:/s/VNA-Sales/EfYih2bsC4pHj8Ow4XV-ifMBf317ZRzd4LPxMB74Y1rvvA?e=a849OA" TargetMode="External"/><Relationship Id="rId186" Type="http://schemas.openxmlformats.org/officeDocument/2006/relationships/hyperlink" Target="../../../../../../:b:/s/VNA-Sales/EcS1KnEgfmZMqryOQbXPQDsB5Lm2faKABN5IdlDQGwUA4g?e=Ph6wY2" TargetMode="External"/><Relationship Id="rId27" Type="http://schemas.openxmlformats.org/officeDocument/2006/relationships/hyperlink" Target="../../Contracts/DISD/4%20-%20SOWs/Complete_with_DocuSign_DISD-_BOS_Managed-Ser/DISD-%20BOS%20Managed-Services-SOW.2023.75%20Hours.v3.docx.pdf" TargetMode="External"/><Relationship Id="rId48" Type="http://schemas.openxmlformats.org/officeDocument/2006/relationships/hyperlink" Target="../../Contracts/ABC%20Fitness%20Solutions/4%20-%20SOWs/ABC.India%20Offshore%20DBA%20SOW.20230217.docx.pdf" TargetMode="External"/><Relationship Id="rId69" Type="http://schemas.openxmlformats.org/officeDocument/2006/relationships/hyperlink" Target="../../Contracts/BMW/4%20-%20SOWs/Signed%20SOWs/SOW%20-%20BMW%20APEX%20Training%202020.pdf" TargetMode="External"/><Relationship Id="rId113" Type="http://schemas.openxmlformats.org/officeDocument/2006/relationships/hyperlink" Target="../../Contracts/Transnetyx/7%20-%20Change%20Orders/TRANSNETYX%20MANAGED%20SERVICES%20CHANGE%20ORDER%202-23-24%20CUSTOMER%20SIGNED.pdf" TargetMode="External"/><Relationship Id="rId134" Type="http://schemas.openxmlformats.org/officeDocument/2006/relationships/hyperlink" Target="../../../../../../:b:/s/VNA-Sales/EUPY4fAZADZDmuEGQseFh5UBQBYC7DlIkgUQp6mMfd5gXA?e=SuLkU3" TargetMode="External"/><Relationship Id="rId80" Type="http://schemas.openxmlformats.org/officeDocument/2006/relationships/hyperlink" Target="../../Contracts/Power%20Design/4%20-%20SOWs/Signed%20SOWs/Power%20Design%20Database%20Assessment%20SOW%20-%20Final.pdf" TargetMode="External"/><Relationship Id="rId155" Type="http://schemas.openxmlformats.org/officeDocument/2006/relationships/hyperlink" Target="../../../../../../:b:/s/VNA-Sales/EUtZNlyMgGVNv6eFhI_rIjQBK4UYirgm_yz1xy7ZZegtnw?e=kwy9Rg" TargetMode="External"/><Relationship Id="rId176" Type="http://schemas.openxmlformats.org/officeDocument/2006/relationships/hyperlink" Target="../../../../../../:b:/s/VNA-Sales/ERwKaoAKi2dHqFqANK7DYOEB3SHz-_DLoXx48_yCuonlmQ?e=PbEjag" TargetMode="External"/><Relationship Id="rId17" Type="http://schemas.openxmlformats.org/officeDocument/2006/relationships/hyperlink" Target="../../Contracts/American%20Leather/2%20-%20SOWs/Signed/ecommerce%20program%20manager%20support%20SOW%20signed%209%20December%202023.pdf" TargetMode="External"/><Relationship Id="rId38" Type="http://schemas.openxmlformats.org/officeDocument/2006/relationships/hyperlink" Target="../../Contracts/Poplar/4%20-%20SOWs/Signed%20SOWs/Poplar.Reconfigure_SQL_Server_Farm_SOW.v3.FINAL.EXECUTED.docx.pdf" TargetMode="External"/><Relationship Id="rId59" Type="http://schemas.openxmlformats.org/officeDocument/2006/relationships/hyperlink" Target="../../Contracts/ST%20Genetics/4%20-%20SOWs/STGEN%20Surge%20SOW.2020DEC.docx" TargetMode="External"/><Relationship Id="rId103" Type="http://schemas.openxmlformats.org/officeDocument/2006/relationships/hyperlink" Target="mailto:Mark.Benson@sanofi.com" TargetMode="External"/><Relationship Id="rId124" Type="http://schemas.openxmlformats.org/officeDocument/2006/relationships/hyperlink" Target="../../../../../../:b:/s/VNA-Sales/EaWYZksi1SdAo247Ey8MGpQBt3eSDf3T2hlxZzRI55CClA?e=FblN1X" TargetMode="External"/><Relationship Id="rId70" Type="http://schemas.openxmlformats.org/officeDocument/2006/relationships/hyperlink" Target="../../Contracts/CACI-%20FKA-%20LGS%20Innovations/4%20-%20SOWs/Signed%202022-2023/KURT%20Statement%20of%20Work%20(SOW)%20Viscosity%20for%20Sign_6DEC2022%20-%20signed.pdf" TargetMode="External"/><Relationship Id="rId91" Type="http://schemas.openxmlformats.org/officeDocument/2006/relationships/hyperlink" Target="../../Contracts/HRL/4%20-%20SOWs/HRL%20ODA%20Migration%20and%20Upgrade%20SoW.docx" TargetMode="External"/><Relationship Id="rId145" Type="http://schemas.openxmlformats.org/officeDocument/2006/relationships/hyperlink" Target="../../../../../../:b:/s/VNA-Sales/ESpz76dXWb1KrDgblEUtSaIBriYrbvTxu_CG8OxoKkZSnA?e=OI79Gh" TargetMode="External"/><Relationship Id="rId166" Type="http://schemas.openxmlformats.org/officeDocument/2006/relationships/hyperlink" Target="../../../../../../:b:/s/VNA-Sales/ESKVJNm9llRNs-OrnQdI1U8B_ZzyWuygpRnAL9G9MOfF9w?e=Kt0rh0" TargetMode="External"/><Relationship Id="rId187" Type="http://schemas.openxmlformats.org/officeDocument/2006/relationships/hyperlink" Target="../../../../../../:b:/s/VNA-Sales/EYb8W46bCw9LorHoHGDGDNsB8Mcwsrf2rh80o8AgP-nx-w?e=bEUNTH" TargetMode="External"/><Relationship Id="rId1" Type="http://schemas.openxmlformats.org/officeDocument/2006/relationships/hyperlink" Target="../../Contracts/American%20Leather/2%20-%20SOWs/Signed/VNA-AL-AP%20Invoice%20Automation%20Services-SOW-v2.docx.pdf" TargetMode="External"/><Relationship Id="rId28" Type="http://schemas.openxmlformats.org/officeDocument/2006/relationships/hyperlink" Target="../../Contracts/DISD/4%20-%20SOWs/2023/DISD-_BOS_Managed-Services-SOW.2023.75_Hours.docx.pdf" TargetMode="External"/><Relationship Id="rId49" Type="http://schemas.openxmlformats.org/officeDocument/2006/relationships/hyperlink" Target="../../Contracts/ABC%20Fitness%20Solutions/4%20-%20SOWs/Signed/ABC.Managed%20Services%20SOW.%20EDW%20Monitoring.June%202022v3.pdf" TargetMode="External"/><Relationship Id="rId114" Type="http://schemas.openxmlformats.org/officeDocument/2006/relationships/hyperlink" Target="../../Contracts/Follett/Follet%20Content%20Solutions%20LLC%20(SQL%20Server)/SOW/Signed/Follett%20Content%20Solutions%20LLC%20Managed%20Services%20SQL%20Server%20DB%20Support%20SOW.FINAL.docx.pdf" TargetMode="External"/><Relationship Id="rId60" Type="http://schemas.openxmlformats.org/officeDocument/2006/relationships/hyperlink" Target="../../Contracts/Salt%20Lake%20CC/Servicelink/2%20-%20SOWs/SoW/SOW%20Viscosity%20North%20America,%20Inc.%20signed.pdf" TargetMode="External"/><Relationship Id="rId81" Type="http://schemas.openxmlformats.org/officeDocument/2006/relationships/hyperlink" Target="../../Contracts/NeoSystems/4%20-%20SOWs/ZFS%20SoW/ZFS%20Configuration%20SoW%20-%20Final.docx?web=1" TargetMode="External"/><Relationship Id="rId135" Type="http://schemas.openxmlformats.org/officeDocument/2006/relationships/hyperlink" Target="../../../../../../:b:/s/VNA-Sales/EbWlAHphs9VIrBXyq3Hv3VgBsgCkRl9h2DPx2graVPE-5g?e=vmNLN2" TargetMode="External"/><Relationship Id="rId156" Type="http://schemas.openxmlformats.org/officeDocument/2006/relationships/hyperlink" Target="../../../../../../:b:/s/VNA-Sales/EfVadt6mO2ZFmhBZ5-OcHxIBJDFWaO-Dg2rwthLImUYK5w?e=rjtGHQ" TargetMode="External"/><Relationship Id="rId177" Type="http://schemas.openxmlformats.org/officeDocument/2006/relationships/hyperlink" Target="../../../../../../:b:/s/VNA-Sales/EXIRV1h0aFdDtSSkc-2idDYBzWFktsx9_1apC1Ez4CyqrQ?e=rg2Rzv" TargetMode="External"/><Relationship Id="rId18" Type="http://schemas.openxmlformats.org/officeDocument/2006/relationships/hyperlink" Target="../../../../../../OneDrive%20-%20Viscosity%20North%20America,%20Inc/General/Contracts/Lamar%20Trailers/2%20-%20SOWs/SOW.Lamar%20Trailer.ODA%20Migration.%20July%202023%20v2.docx.pdf" TargetMode="External"/><Relationship Id="rId39" Type="http://schemas.openxmlformats.org/officeDocument/2006/relationships/hyperlink" Target="../../Contracts/Globalstar/2%20-%20SOWs/SIgned/Globalstar_SOW_for_ODA_Implementation.V3.03102023.docx.pdf" TargetMode="Externa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8" Type="http://schemas.openxmlformats.org/officeDocument/2006/relationships/hyperlink" Target="../../../../../../:u:/s/VNA-Sales/ETivDLRu3RFMkpQmxoEB1y8BL2U5woHVqjTESGE3tvhwVA?e=LcWpmF" TargetMode="External"/><Relationship Id="rId13" Type="http://schemas.openxmlformats.org/officeDocument/2006/relationships/drawing" Target="../drawings/drawing1.xml"/><Relationship Id="rId3" Type="http://schemas.openxmlformats.org/officeDocument/2006/relationships/hyperlink" Target="../../../../../../:b:/s/VNA-Sales/EZPtQ9F3P45PrqveVen__FMBgvnFAWkuldmXB2BPnH8v1A?e=h7cKYb" TargetMode="External"/><Relationship Id="rId7" Type="http://schemas.openxmlformats.org/officeDocument/2006/relationships/hyperlink" Target="../../../../../../:b:/s/VNA-Sales/EWM-8xKVXc5Dv1Zvu3veIvsBr0iDKt-JWWM34WDP9jVXtw?e=NA9bNF" TargetMode="External"/><Relationship Id="rId12" Type="http://schemas.openxmlformats.org/officeDocument/2006/relationships/hyperlink" Target="../../../../../../:b:/s/VNA-Sales/EQsccOJyCUZItE1iLMSD9sQBurWlDEdowyB54VHOSKh2eA?e=h1BANl" TargetMode="External"/><Relationship Id="rId2" Type="http://schemas.openxmlformats.org/officeDocument/2006/relationships/hyperlink" Target="../../../../../../:b:/s/VNA-Sales/EZIs538HU8BDqA25FMoNvxAB9ZNhIw9R2SGtYCely_Vf5g?e=9pb0GT" TargetMode="External"/><Relationship Id="rId1" Type="http://schemas.openxmlformats.org/officeDocument/2006/relationships/hyperlink" Target="../../../../../../:b:/s/VNA-Sales/ESpz76dXWb1KrDgblEUtSaIBriYrbvTxu_CG8OxoKkZSnA?e=Kd5xhE" TargetMode="External"/><Relationship Id="rId6" Type="http://schemas.openxmlformats.org/officeDocument/2006/relationships/hyperlink" Target="../../../../../../:b:/s/VNA-Sales/ET8F9tIhDSdNgpY9ipXi7pkB3VOcihsfAsmFne5rqf6ekA?e=EItSDT" TargetMode="External"/><Relationship Id="rId11" Type="http://schemas.openxmlformats.org/officeDocument/2006/relationships/hyperlink" Target="../../../../../../:b:/s/VNA-Sales/EY8AOYFsBnVEofLBkdxJ6ZMBnToC7o5PZfSaEpJR6WRcMA?e=XLV1Xx" TargetMode="External"/><Relationship Id="rId5" Type="http://schemas.openxmlformats.org/officeDocument/2006/relationships/hyperlink" Target="../../../../../../:b:/s/VNA-Sales/EaCT7-sBIXNLiL-qdiMMY8wBTtzc0FCZq6B2Exyc7oZGqQ?e=W5Jupa" TargetMode="External"/><Relationship Id="rId10" Type="http://schemas.openxmlformats.org/officeDocument/2006/relationships/hyperlink" Target="../../../../../../:b:/s/VNA-Sales/EfeJnX_D2D1DnNlB8XyJpHYBqz5wEsJVxLyN4iWBMkqdMg?e=9oxeGj" TargetMode="External"/><Relationship Id="rId4" Type="http://schemas.openxmlformats.org/officeDocument/2006/relationships/hyperlink" Target="../../../../../../:b:/s/VNA-Sales/ERiTpy0wh3NAujLu7ndaCLQBlMe30BbzAMOWDE2gILThMw?e=GHw1te" TargetMode="External"/><Relationship Id="rId9" Type="http://schemas.openxmlformats.org/officeDocument/2006/relationships/hyperlink" Target="../../../../../../:b:/s/VNA-Sales/EUyrmWNeD-lPqp7cVNA8xB0BUxQ93NdE2_jCmm7diIEuEw?e=FAkQfy" TargetMode="External"/><Relationship Id="rId14"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17" Type="http://schemas.openxmlformats.org/officeDocument/2006/relationships/hyperlink" Target="../../Contracts/BDO-Harris%20County/2%20-%20SOW/Viscosity-HCTRA-ExadataCC-SOW%20v2.pdf" TargetMode="External"/><Relationship Id="rId21" Type="http://schemas.openxmlformats.org/officeDocument/2006/relationships/hyperlink" Target="../../Contracts/HRL/4%20-%20SOWs/HRL%20ODA%20Migration%20and%20Upgrade%20SoW.docx" TargetMode="External"/><Relationship Id="rId42" Type="http://schemas.openxmlformats.org/officeDocument/2006/relationships/hyperlink" Target="../../Contracts/Poplar/1%20-%20Agreements/Signed/BAA_Poplar%20Healthcare_VNA.v20220422.Executed04252022.pdf" TargetMode="External"/><Relationship Id="rId63" Type="http://schemas.openxmlformats.org/officeDocument/2006/relationships/hyperlink" Target="../../Contracts/CACI-%20FKA-%20LGS%20Innovations/4%20-%20SOWs/Signed%202022-2023/KURT%20Statement%20of%20Work%20(SOW)%20Viscosity%20for%20Sign_6DEC2022%20-%20signed.pdf" TargetMode="External"/><Relationship Id="rId84" Type="http://schemas.openxmlformats.org/officeDocument/2006/relationships/hyperlink" Target="../../Contracts/US%20Renal%20Care/4%20-%20SOWs/Signed/Managed%20Database%20Support%20US%20Renal%20Care-2%20(1).pdf" TargetMode="External"/><Relationship Id="rId138" Type="http://schemas.openxmlformats.org/officeDocument/2006/relationships/hyperlink" Target="../../Contracts/DISD/4%20-%20SOWs/Complete_with_DocuSign_DISD-_BOS_Managed-Ser/DISD-%20BOS%20Managed-Services-SOW.2023.75%20Hours.v3.docx.pdf" TargetMode="External"/><Relationship Id="rId159" Type="http://schemas.openxmlformats.org/officeDocument/2006/relationships/hyperlink" Target="../../Contracts/ABC%20Fitness%20Solutions/4%20-%20SOWs/Signed/VNA.ABC.Support%20Services%20SoW.Offshore%20DBA.2024Mar-Dec.docx.pdf" TargetMode="External"/><Relationship Id="rId170" Type="http://schemas.openxmlformats.org/officeDocument/2006/relationships/hyperlink" Target="../../Contracts/DISD/5%20-%20Accounting%20&amp;%20Purchase%20Orders/PO_102_933851_0_US.BOS%20FUSION%20MIGRATION.pdf" TargetMode="External"/><Relationship Id="rId107" Type="http://schemas.openxmlformats.org/officeDocument/2006/relationships/hyperlink" Target="../../Contracts/Flowtrac/Viscosity%20Flowtrac%20MNDA.pdf" TargetMode="External"/><Relationship Id="rId11" Type="http://schemas.openxmlformats.org/officeDocument/2006/relationships/hyperlink" Target="../../Contracts/Computex/2%20-%20Subcontracts/Computex-Dresser/SOW/EBS%20MIGRATION/VNA.COMPUTEX.DRESSER%20UTILITY.EBS%20MIGRATION%20SOW.V3.20211104%20Signed.pdf" TargetMode="External"/><Relationship Id="rId32" Type="http://schemas.openxmlformats.org/officeDocument/2006/relationships/hyperlink" Target="../../Contracts/Morris-Shea/5%20-%20Agreements/Signed%20Agreements/Sabre%20NDA%2002112016_Signed.pdf" TargetMode="External"/><Relationship Id="rId53" Type="http://schemas.openxmlformats.org/officeDocument/2006/relationships/hyperlink" Target="../../Contracts/Texas-de-Brazil/4%20-%20SOWs/2021/TDB.TRANSFORM%20ENHANCEMENTS.SOW.NOV2021.docx?web=1" TargetMode="External"/><Relationship Id="rId74" Type="http://schemas.openxmlformats.org/officeDocument/2006/relationships/hyperlink" Target="../../Contracts/IQN/3-%20Agreements/VNA%20Master%20Services%20Agreement%20IQN%20-%20DW%20(11.27.17)%20-%20signed.pdf" TargetMode="External"/><Relationship Id="rId128" Type="http://schemas.openxmlformats.org/officeDocument/2006/relationships/hyperlink" Target="../../Contracts/Athenian%20-%20LA%20Metro/2%20-%20SOWS/Signed/AG.LA%20METRO.DATA%20INPUT%20AUTOMATION.MARCH%202023.docx.pdf" TargetMode="External"/><Relationship Id="rId149" Type="http://schemas.openxmlformats.org/officeDocument/2006/relationships/hyperlink" Target="../../../../../../../../../../../../../../../../../../../../../../../../../../../leisa/Viscosity%20North%20America,%20Inc/VNA-%20Sales%20-%20General/Contracts/MountainWest%20Pipeline/2%20-%20SOWs/Executed/Project%20Jazz%20-%20Viscosity%20SoW%20-%20signed.pdf" TargetMode="External"/><Relationship Id="rId5" Type="http://schemas.openxmlformats.org/officeDocument/2006/relationships/hyperlink" Target="../../Contracts/ABC%20Financial/4%20-%20SOWs/ABC.Pro%20Services-Performance%20Tuning%20Break-Fix%20Troubleshooting_SOW_v2022.03.01_v1%20-%20Signed.pdf" TargetMode="External"/><Relationship Id="rId95" Type="http://schemas.openxmlformats.org/officeDocument/2006/relationships/hyperlink" Target="../../Contracts/Follett/1-%20Agreements/Signed%20Agreements/MNDA%20FSS%20LLC%20Viscosity%20(002).pdf" TargetMode="External"/><Relationship Id="rId160" Type="http://schemas.openxmlformats.org/officeDocument/2006/relationships/hyperlink" Target="../../Contracts/ABC%20Fitness%20Solutions/4%20-%20SOWs/Signed/VNA.ABC.Professional%20Services.SoW.2024Jan-Jun.docx.pdf" TargetMode="External"/><Relationship Id="rId181" Type="http://schemas.openxmlformats.org/officeDocument/2006/relationships/comments" Target="../comments3.xml"/><Relationship Id="rId22" Type="http://schemas.openxmlformats.org/officeDocument/2006/relationships/hyperlink" Target="../../Contracts/IdenTrust/2%20-%20SOWs/2023/IdenTrust%20DB%20Patching%202023.docx?web=1" TargetMode="External"/><Relationship Id="rId43" Type="http://schemas.openxmlformats.org/officeDocument/2006/relationships/hyperlink" Target="../../Contracts/Power%20Design/5%20-%20Agreements/Power%20Design%20-%20NDA%20(one%20sided)%20-%20signed.pdf" TargetMode="External"/><Relationship Id="rId64" Type="http://schemas.openxmlformats.org/officeDocument/2006/relationships/hyperlink" Target="../../Contracts/CACI-%20FKA-%20LGS%20Innovations/5%20-%20Agreements/NDA/caci_agreement.NDA.120222.pdf" TargetMode="External"/><Relationship Id="rId118" Type="http://schemas.openxmlformats.org/officeDocument/2006/relationships/hyperlink" Target="../../Contracts/Oak%20Ridge%20National%20Laboratory/3%20-%20Accounting%20%26%20Purchase%20Orders/PO.4000207399.2023.EXA%20PATCHING.UPGRADE.htm" TargetMode="External"/><Relationship Id="rId139" Type="http://schemas.openxmlformats.org/officeDocument/2006/relationships/hyperlink" Target="../../Contracts/Sanofi/2-%20SOW/Executed/Sanofi_SOW-InfrastructureAnalysis_20230511.docx.pdf" TargetMode="External"/><Relationship Id="rId85" Type="http://schemas.openxmlformats.org/officeDocument/2006/relationships/hyperlink" Target="../../Contracts/US%20Renal%20Care/5%20-%20Agreements/VNA_MSA_Signed_01292019_JP.pdf" TargetMode="External"/><Relationship Id="rId150" Type="http://schemas.openxmlformats.org/officeDocument/2006/relationships/hyperlink" Target="../../Contracts/Poplar/3%20-%20Change%20Orders/Signed%20Change%20Orders/POPLAR%20MANAGED%20SERVICES%20CHANGE%20ORDER%205-22-23.docx.pdf" TargetMode="External"/><Relationship Id="rId171" Type="http://schemas.openxmlformats.org/officeDocument/2006/relationships/hyperlink" Target="../../Contracts/DISD/5%20-%20Accounting%20&amp;%20Purchase%20Orders/PO_102_924830_0_US.MGDSRVCS.2023%20RENEWAL.JULY12023.pdf" TargetMode="External"/><Relationship Id="rId12" Type="http://schemas.openxmlformats.org/officeDocument/2006/relationships/hyperlink" Target="../../Contracts/BMW/5%20-%20Agreements/MSA/BMW%20VNA%20MSA%20-%20DW%20040920%20V1.docx?web=1" TargetMode="External"/><Relationship Id="rId33" Type="http://schemas.openxmlformats.org/officeDocument/2006/relationships/hyperlink" Target="../../Contracts/Morris-Shea/5%20-%20Agreements/VNA%20Morris-Shea%20MSA%20v1.docx?web=1" TargetMode="External"/><Relationship Id="rId108" Type="http://schemas.openxmlformats.org/officeDocument/2006/relationships/hyperlink" Target="../../Contracts/Sanofi/1-%20Agreements/CDA_NDA%20w_%20Viscosity%20North%20America%20-%20signed.pdf" TargetMode="External"/><Relationship Id="rId129" Type="http://schemas.openxmlformats.org/officeDocument/2006/relationships/hyperlink" Target="../../Contracts/AssetWorks/2%20-%20SOW/Asset%20Works%20Database%20and%20AOP%20Assessment%20SOW.docx" TargetMode="External"/><Relationship Id="rId54" Type="http://schemas.openxmlformats.org/officeDocument/2006/relationships/hyperlink" Target="../../Contracts/Jiffy%20Lube/2%20-%20Agreements/Signed/MSA-VNA_-_Jiffy_Lube_2021.NOV_v2.docx.pdf" TargetMode="External"/><Relationship Id="rId75" Type="http://schemas.openxmlformats.org/officeDocument/2006/relationships/hyperlink" Target="../../Contracts/CACI-%20FKA-%20LGS%20Innovations/3%20-%20Agreements/NDA/caci_agreement.NDA.120222.pdf" TargetMode="External"/><Relationship Id="rId96" Type="http://schemas.openxmlformats.org/officeDocument/2006/relationships/hyperlink" Target="../../Contracts/Incomm/5%20-%20Agreements/2021-05-10.Executed%20Viscosity%20MSA%20Agreement.pdf" TargetMode="External"/><Relationship Id="rId140" Type="http://schemas.openxmlformats.org/officeDocument/2006/relationships/hyperlink" Target="../../Contracts/Globalstar/1%20-%20Agreements/Executed/VNA_-MSA_-_Globalstar.APRIL2023.docx.pdf" TargetMode="External"/><Relationship Id="rId161" Type="http://schemas.openxmlformats.org/officeDocument/2006/relationships/hyperlink" Target="../../Contracts/ABC%20Fitness%20Solutions/4%20-%20SOWs/Signed/VNA.ABC.Support%20Services%20SoW.EDW%20Monitoring.Offshore.2024Jan-Jun.docx.pdf" TargetMode="External"/><Relationship Id="rId182" Type="http://schemas.microsoft.com/office/2017/10/relationships/threadedComment" Target="../threadedComments/threadedComment3.xml"/><Relationship Id="rId6" Type="http://schemas.openxmlformats.org/officeDocument/2006/relationships/hyperlink" Target="../../Contracts/Airport%20Terminal%20Services/4%20-%20SOWs/2019/Oracle%20Fusion%20Managed%20services%20signed.pdf" TargetMode="External"/><Relationship Id="rId23" Type="http://schemas.openxmlformats.org/officeDocument/2006/relationships/hyperlink" Target="../../Contracts/IdenTrust/4%20-%20SOWs/Signed%20SOWs/IdenTrust%20DB%20Patching%202022%20SIGNED.pdf" TargetMode="External"/><Relationship Id="rId119" Type="http://schemas.openxmlformats.org/officeDocument/2006/relationships/hyperlink" Target="../../Contracts/Record%20Deposition%20Service%20(RDS)/1%20-%20Agreements/Signed%20NDA/VNARDS%20NDA%20-%20Signed%20CK.pdf" TargetMode="External"/><Relationship Id="rId44" Type="http://schemas.openxmlformats.org/officeDocument/2006/relationships/hyperlink" Target="../../Contracts/Power%20Design/4%20-%20SOWs/Signed%20SOWs/Power%20Design%20Database%20Assessment%20SOW%20-%20Final.pdf" TargetMode="External"/><Relationship Id="rId60" Type="http://schemas.openxmlformats.org/officeDocument/2006/relationships/hyperlink" Target="../../Contracts/Saracen%20Energy/1-%20Agreements/Signed/Saracen%20NDA.PDF" TargetMode="External"/><Relationship Id="rId65" Type="http://schemas.openxmlformats.org/officeDocument/2006/relationships/hyperlink" Target="../../Contracts/BMW/4%20-%20SOWs/Signed%20SOWs/SOW%20-%20BMW%20APEX%20Training%202020.pdf" TargetMode="External"/><Relationship Id="rId81" Type="http://schemas.openxmlformats.org/officeDocument/2006/relationships/hyperlink" Target="../../Contracts/ST%20Genetics/5%20-%20Agreements/MSA/MSA-Inguran,%20LLC%20.docx" TargetMode="External"/><Relationship Id="rId86" Type="http://schemas.openxmlformats.org/officeDocument/2006/relationships/hyperlink" Target="../../Contracts/US%20Renal%20Care/5%20-%20Agreements/VNA_NDA_Signed_09132018.CK.pdf" TargetMode="External"/><Relationship Id="rId130" Type="http://schemas.openxmlformats.org/officeDocument/2006/relationships/hyperlink" Target="../../Contracts/National%20Mango%20Board/3%20-%20SOWS/Signed%20SOWs/Viscosity%20North%20America_Mango%20Volume%20Inventory%20System%20Consultant%20Agreement%202021.pdf" TargetMode="External"/><Relationship Id="rId135" Type="http://schemas.openxmlformats.org/officeDocument/2006/relationships/hyperlink" Target="../../Contracts/Athenian%20-%20LA%20Metro/1%20-%20Agreements/Signed/VNA%20-%20MSA%202022%20.VNA%20REVISED.20230329.docx.pdf" TargetMode="External"/><Relationship Id="rId151" Type="http://schemas.openxmlformats.org/officeDocument/2006/relationships/hyperlink" Target="../../Contracts/Just%20Born/1%20-%20Agreements/VNA.MSA.Just%20Born.June%202023.docx.pdf" TargetMode="External"/><Relationship Id="rId156" Type="http://schemas.openxmlformats.org/officeDocument/2006/relationships/hyperlink" Target="../../../../../../OneDrive%20-%20Viscosity%20North%20America,%20Inc/General/Contracts/Lamar%20Trailers/2%20-%20SOWs/SOW.Lamar%20Trailer.ODA%20Migration.%20July%202023%20v2.docx.pdf" TargetMode="External"/><Relationship Id="rId177" Type="http://schemas.openxmlformats.org/officeDocument/2006/relationships/hyperlink" Target="../../Contracts/American%20Leather/2%20-%20SOWs/Signed/VNA-AL-AP%20Invoice%20Automation%20Services-SOW-v2.docx.pdf" TargetMode="External"/><Relationship Id="rId172" Type="http://schemas.openxmlformats.org/officeDocument/2006/relationships/hyperlink" Target="../../Contracts/Follett/Follett%20School%20Solutions%20LLC%20(Oracle%20EBS)/2%20-%20SOWs/Signed%20SOW/Follett%20School%20Solutions%20LLC%20MS%20Change%20Order%20Jan%202024%20FINAL.docx.pdf" TargetMode="External"/><Relationship Id="rId13" Type="http://schemas.openxmlformats.org/officeDocument/2006/relationships/hyperlink" Target="../../Contracts/BOT/4%20-%20SOWs/BOT.APEX%20Timekeeping.Managed-Services-SOW.20220808.docx?web=1" TargetMode="External"/><Relationship Id="rId18" Type="http://schemas.openxmlformats.org/officeDocument/2006/relationships/hyperlink" Target="../../Contracts/FNF/1%20-%20Agreements/Signed/VNA_Master_Services_Agreemen-Signed.pdf" TargetMode="External"/><Relationship Id="rId39" Type="http://schemas.openxmlformats.org/officeDocument/2006/relationships/hyperlink" Target="../../Contracts/NeoSystems/4%20-%20SOWs/Signed%20SOWs/ViscosityNA%20NeoSystems%20SoW%20May-2018%20accepted-countersigned.pdf" TargetMode="External"/><Relationship Id="rId109" Type="http://schemas.openxmlformats.org/officeDocument/2006/relationships/hyperlink" Target="../../Contracts/ABC%20Financial/6%20-%20Accounting%20&amp;%20Purchase%20Orders/Viscosity%20PO23-29200%202023-01-26.pdf" TargetMode="External"/><Relationship Id="rId34" Type="http://schemas.openxmlformats.org/officeDocument/2006/relationships/hyperlink" Target="../../Contracts/National%20Mango%20Board/4%20-%20Agreements/Signed/Viscosity%20North%20America_Mango%20Volume%20Inventory%20System%20Consultant%20Agreement%202021.pdf" TargetMode="External"/><Relationship Id="rId50" Type="http://schemas.openxmlformats.org/officeDocument/2006/relationships/hyperlink" Target="../../Contracts/Centene%20-%20%5bformerly%20Wellcare%5d%20-%20%5bformerly%20Meridian%20(Caidan)%5d/8%20-%20Archive/Wellcare/1%20-%20Agreements/Signed/Fully%20Executed%20MSA.pdf" TargetMode="External"/><Relationship Id="rId55" Type="http://schemas.openxmlformats.org/officeDocument/2006/relationships/hyperlink" Target="../../Contracts/BMW/6%20-%20Accounting%20&amp;%20Purchase%20Orders/POF3RKHXJ.TRAINING%202022.SQL.APEX.PDF" TargetMode="External"/><Relationship Id="rId76" Type="http://schemas.openxmlformats.org/officeDocument/2006/relationships/hyperlink" Target="../../Contracts/CACI-%20FKA-%20LGS%20Innovations/2%20-%20SOWs/Signed%202022-2023/KURT%20Statement%20of%20Work%20(SOW)%20Viscosity%20for%20Sign_6DEC2022%20-%20signed.pdf" TargetMode="External"/><Relationship Id="rId97" Type="http://schemas.openxmlformats.org/officeDocument/2006/relationships/hyperlink" Target="../../Contracts/Incomm/5%20-%20Agreements/NDA/2021-04-13.Mutual%20Nondisclosure%20Agreement,%20Viscosity%20North%20America,%20Inc%20(1).pdf" TargetMode="External"/><Relationship Id="rId104" Type="http://schemas.openxmlformats.org/officeDocument/2006/relationships/hyperlink" Target="../../Contracts/RL%20Carriers/1%20-%20Agreements/Signed/Viscosity%20Master%20Services%20Agreement.FINAL.docx.pdf" TargetMode="External"/><Relationship Id="rId120" Type="http://schemas.openxmlformats.org/officeDocument/2006/relationships/hyperlink" Target="../../Contracts/Sherwin%20Williams/2%20-%20SOWs/Managed%20Services/Fwd_%20The%20Sherwin-Williams%20Company%20Purchase%20Order" TargetMode="External"/><Relationship Id="rId125" Type="http://schemas.openxmlformats.org/officeDocument/2006/relationships/hyperlink" Target="../../Contracts/Poplar/4%20-%20SOWs/Signed%20SOWs/Poplar.Reconfigure_SQL_Server_Farm_SOW.v3.FINAL.EXECUTED.docx.pdf" TargetMode="External"/><Relationship Id="rId141" Type="http://schemas.openxmlformats.org/officeDocument/2006/relationships/hyperlink" Target="../../Contracts/RIA-Nationwide/3%20-%20Agreements/Signed/Limited%20Services%20Agreement%20FINAL%2020230519.docx.pdf" TargetMode="External"/><Relationship Id="rId146" Type="http://schemas.openxmlformats.org/officeDocument/2006/relationships/hyperlink" Target="../../Contracts/RIA-Nationwide/1%20-%20SOWs/Signed%20SOWs/Exhibit%20A%20-%20Statement%20of%20Work%20(Viscosity%20and%20NW)%20FINAL.docx%2005.25.2023.pdf" TargetMode="External"/><Relationship Id="rId167" Type="http://schemas.openxmlformats.org/officeDocument/2006/relationships/hyperlink" Target="../../Contracts/American%20Leather/2%20-%20SOWs/Signed/SOW.American%20Leather.StaffAug.Deployment.Performance%20Enhancement%20EBS%20Views%20for%20Financial%20Data%20Wareho.pdf" TargetMode="External"/><Relationship Id="rId7" Type="http://schemas.openxmlformats.org/officeDocument/2006/relationships/hyperlink" Target="../../Contracts/AHA/2%20-%20SOWs/2022/121240_S08_Viscosity_North_America.pdf" TargetMode="External"/><Relationship Id="rId71" Type="http://schemas.openxmlformats.org/officeDocument/2006/relationships/hyperlink" Target="../../Contracts/Excellus%20-%20BCBS/1%20-%20SOWs/Signed/Viscosity_SOW%207_XMLDB_V5_Final%20to%20Sign_090722.docx.pdf" TargetMode="External"/><Relationship Id="rId92" Type="http://schemas.openxmlformats.org/officeDocument/2006/relationships/hyperlink" Target="../../Contracts/Clario/1%20-%20Agreements/Signed/Viscosity_Clario_Supplier_MSA_Redlines_-_FINAL.10122022.docx.pdf" TargetMode="External"/><Relationship Id="rId162" Type="http://schemas.openxmlformats.org/officeDocument/2006/relationships/hyperlink" Target="../../Contracts/Sports%20Medicine%20Research%20and%20Testing%20Lab/3%20-%20SOW/Signed/VNA-SOW-SMRTL-Phase01.20240110.docx.pdf" TargetMode="External"/><Relationship Id="rId2" Type="http://schemas.openxmlformats.org/officeDocument/2006/relationships/hyperlink" Target="../../Contracts/ACGI/4%20-%20Agreements/MSA-ACGI.docx?web=1" TargetMode="External"/><Relationship Id="rId29" Type="http://schemas.openxmlformats.org/officeDocument/2006/relationships/hyperlink" Target="../../Contracts/Merit%20Medical/4%20-%20SOWs/Signed/2019.09.06%20-%20Viscocity%20MSA%20and%20SOW.pdf" TargetMode="External"/><Relationship Id="rId24" Type="http://schemas.openxmlformats.org/officeDocument/2006/relationships/hyperlink" Target="../../Contracts/IdenTrust/1%20-%20Agreements/Signed%20MSA/VNA%20Master%20Services%20Agreement%20-%20IdenTrust%20v2%20signed.pdf" TargetMode="External"/><Relationship Id="rId40" Type="http://schemas.openxmlformats.org/officeDocument/2006/relationships/hyperlink" Target="../../Contracts/NeoSystems/4%20-%20SOWs/ZFS%20SoW/ZFS%20Configuration%20SoW%20-%20Final.docx?web=1" TargetMode="External"/><Relationship Id="rId45" Type="http://schemas.openxmlformats.org/officeDocument/2006/relationships/hyperlink" Target="../../Contracts/Record%20Deposition%20Service%20(RDS)/1%20-%20Agreements/Signed%20MSA/VNA%20Master%20Services%20Agreement%20-%20RDS%20-%20Signed%20CK.pdf" TargetMode="External"/><Relationship Id="rId66" Type="http://schemas.openxmlformats.org/officeDocument/2006/relationships/hyperlink" Target="../../Contracts/Clario/1%20-%20Agreements/SIGNED/Clario_Linux_Unix_ODA_Managed_Services_SOW.v3.20220715.FINAL.docx.pdf" TargetMode="External"/><Relationship Id="rId87" Type="http://schemas.openxmlformats.org/officeDocument/2006/relationships/hyperlink" Target="../../Contracts/Centene%20-%20%5bformerly%20Wellcare%5d%20-%20%5bformerly%20Meridian%20(Caidan)%5d/8%20-%20Archive/Wellcare/2%20-%20SOWs/Signed%20SOWs/Exadata%20Optimization%20and%20Professional%20Services%20Q3-42021%20CENTENE%20v3.2%20%20-%20signed.pdf" TargetMode="External"/><Relationship Id="rId110" Type="http://schemas.openxmlformats.org/officeDocument/2006/relationships/hyperlink" Target="../../Contracts/ABC%20Fitness%20Solutions/4%20-%20SOWs/Signed/ABC.Managed%20Services%20SOW.%20EDW%20Monitoring.June%202022v3.pdf" TargetMode="External"/><Relationship Id="rId115" Type="http://schemas.openxmlformats.org/officeDocument/2006/relationships/hyperlink" Target="../../Contracts/UMass%20Memorial/2%20-%20SOW/Viscosity%20North%20America%20Managed%20Services%20Proposal%20-%20Oracle%20Database%20Remote%20Support%20Services%2010-2020%20to%2010-2021%20(5980).pdf" TargetMode="External"/><Relationship Id="rId131" Type="http://schemas.openxmlformats.org/officeDocument/2006/relationships/hyperlink" Target="../../Contracts/CTOT%20-%20Capital%20Title%20of%20Texas/2%20-%20SOWs/Viscosity_SOW_CapitalTitle_CRM_11132020%20(signed).pdf" TargetMode="External"/><Relationship Id="rId136" Type="http://schemas.openxmlformats.org/officeDocument/2006/relationships/hyperlink" Target="../../Contracts/CAP/2%20-%20SOWs/2023/Viscosity%20SOW%202023%20for%20DB%20Migration-V1.0.docx" TargetMode="External"/><Relationship Id="rId157" Type="http://schemas.openxmlformats.org/officeDocument/2006/relationships/hyperlink" Target="../../Contracts/Transnetyx/4%20-%20SOWs/Signed/Transnetyx%20Managed%20Services%20Database%20Support%20SOW%202024.docx.pdf" TargetMode="External"/><Relationship Id="rId178" Type="http://schemas.openxmlformats.org/officeDocument/2006/relationships/printerSettings" Target="../printerSettings/printerSettings4.bin"/><Relationship Id="rId61" Type="http://schemas.openxmlformats.org/officeDocument/2006/relationships/hyperlink" Target="../../Contracts/CACI-%20FKA-%20LGS%20Innovations/3%20-%20Agreements/NDA/caci_agreement.NDA.120222.pdf" TargetMode="External"/><Relationship Id="rId82" Type="http://schemas.openxmlformats.org/officeDocument/2006/relationships/hyperlink" Target="../../Contracts/ST%20Genetics/5%20-%20Agreements/NDA/STGenetics%20and%20Viscosity%20NA%20Mutual%20NDA%20-%20IT%20Consultants%20(2018.06.08).pdf" TargetMode="External"/><Relationship Id="rId152" Type="http://schemas.openxmlformats.org/officeDocument/2006/relationships/hyperlink" Target="../../../../../../OneDrive%20-%20Viscosity%20North%20America,%20Inc/General/Contracts/American%20Leather/1%20-%20Agreements/VNA.MSA.AMERICAN_LEATHER.2023.docx.pdf" TargetMode="External"/><Relationship Id="rId173" Type="http://schemas.openxmlformats.org/officeDocument/2006/relationships/hyperlink" Target="../../Contracts/Follett/Follet%20Content%20Solutions%20LLC%20(SQL%20Server)/MSA%20and%20NDA/Signed/VT.MSA.Follett%20Content%20Solutions.27JAN2024%20Follett%20Content%20Edits.FINAL.docx.pdf" TargetMode="External"/><Relationship Id="rId19" Type="http://schemas.openxmlformats.org/officeDocument/2006/relationships/hyperlink" Target="../../Contracts/FNF/2-%20SOWs/Signed%20SOW's/SOW2019cUpgradeTRAXv6_Finalv2.docx.pdf" TargetMode="External"/><Relationship Id="rId14" Type="http://schemas.openxmlformats.org/officeDocument/2006/relationships/hyperlink" Target="../../Contracts/Computex/1%20-%20Agreements/03-02-2021_Computex_Master_Contracting_Agreement_-_Viscosity_Redlines_-_Computex_Reply.pdf" TargetMode="External"/><Relationship Id="rId30" Type="http://schemas.openxmlformats.org/officeDocument/2006/relationships/hyperlink" Target="../../Contracts/Merit%20Medical/4%20-%20SOWs/Signed/2019.09.06%20-%20Viscocity%20MSA%20and%20SOW.pdf" TargetMode="External"/><Relationship Id="rId35" Type="http://schemas.openxmlformats.org/officeDocument/2006/relationships/hyperlink" Target="../../Contracts/Neiman%20Marcus/1%20-%20Agreements/Signed/Viscosity%20VMO-5813-MASTER%20SERVICES%20AGREEMENT.VNA%20Clean%20and%20Final.docx.pdf" TargetMode="External"/><Relationship Id="rId56" Type="http://schemas.openxmlformats.org/officeDocument/2006/relationships/hyperlink" Target="../../Contracts/DISD/5%20-%20Accounting%20%26%20Purchase%20Orders/PO%20862363-%20Viscosity.License%20Assessment%202022.pdf" TargetMode="External"/><Relationship Id="rId77" Type="http://schemas.openxmlformats.org/officeDocument/2006/relationships/hyperlink" Target="../../Contracts/Oak%20Ridge%20National%20Laboratory/2%20-%20SOWs/VNA%20ORNL%20Exa%20Patching%20and%20Upgrade%2019c%20v20220728%5b56%5d.EXECUTED.pdf" TargetMode="External"/><Relationship Id="rId100" Type="http://schemas.openxmlformats.org/officeDocument/2006/relationships/hyperlink" Target="../../Contracts/Transnetyx/4%20-%20SOWs/Transnetyx%20Managed%20Services%20Database%20Support%20SOW%20Renewal%202021.pdf" TargetMode="External"/><Relationship Id="rId105" Type="http://schemas.openxmlformats.org/officeDocument/2006/relationships/hyperlink" Target="../../Contracts/RL%20Carriers/1%20-%20Agreements/Mutual%20NDA%20for%20Oracle%20DB%20Health%20Check%20_ViscosityNA.pdf" TargetMode="External"/><Relationship Id="rId126" Type="http://schemas.openxmlformats.org/officeDocument/2006/relationships/hyperlink" Target="../../Contracts/Poplar/2%20-%20SOWs/Signed%20SOWs/Poplar%20SQL%20Server%20Managed%20Services%20Database%20Support%20SOW%20March%202023.pdf" TargetMode="External"/><Relationship Id="rId147" Type="http://schemas.openxmlformats.org/officeDocument/2006/relationships/hyperlink" Target="../../../../../../../../../../../../../../../../../../../../../../../../../../../leisa/Viscosity%20North%20America,%20Inc/VNA-%20Sales%20-%20General/Contracts/DISD/1%20-%20Agreements/2022%20Vendor%20Contact%20Renewal%20Forms/2024%20Renewal%20Letter%20KH-205563%20Viscosity%20North%20America.SIGNED.pdf" TargetMode="External"/><Relationship Id="rId168" Type="http://schemas.openxmlformats.org/officeDocument/2006/relationships/hyperlink" Target="../../Contracts/DISD/4%20-%20SOWs/Professional%20Services/DISD_BOS-_Fusion_Migration.OCT2023.signed.docx.pdf" TargetMode="External"/><Relationship Id="rId8" Type="http://schemas.openxmlformats.org/officeDocument/2006/relationships/hyperlink" Target="../../Contracts/AHA/1%20-%20Agreements/Viscosity_121240_2017.05.24_K_AMERICAN%20HEART.pdf" TargetMode="External"/><Relationship Id="rId51" Type="http://schemas.openxmlformats.org/officeDocument/2006/relationships/hyperlink" Target="../../Contracts/Centene%20-%20%5bformerly%20Wellcare%5d%20-%20%5bformerly%20Meridian%20(Caidan)%5d/8%20-%20Archive/Wellcare/1%20-%20Agreements/Signed/AGS+-+Full+Coverage+Supplier+or+Vendor+NDA%20Export.pdf" TargetMode="External"/><Relationship Id="rId72" Type="http://schemas.openxmlformats.org/officeDocument/2006/relationships/hyperlink" Target="../../Contracts/IQN/2%20-%20SOWs/Signed/EBS%20Migration%20and%20Upgrade%20SOW%20(provided%20by%20ViscosityNA)_encrypted_.pdf" TargetMode="External"/><Relationship Id="rId93" Type="http://schemas.openxmlformats.org/officeDocument/2006/relationships/hyperlink" Target="../../Contracts/Clario/3%20-%20Accounting%20&amp;%20Purchase%20Orders/Viscosity_PO_550_101102037_01Nov22_US.pdf" TargetMode="External"/><Relationship Id="rId98" Type="http://schemas.openxmlformats.org/officeDocument/2006/relationships/hyperlink" Target="../../Contracts/Saracen%20Energy/2%20-%20SOW/Signed/852C5221-5653-4E48-9648-DED32512881A.Viscosity%20DBA.PDF" TargetMode="External"/><Relationship Id="rId121" Type="http://schemas.openxmlformats.org/officeDocument/2006/relationships/hyperlink" Target="../../Contracts/Sherwin%20Williams/2%20-%20SOWs/Managed%20Services/Please_DocuSign_Viscosity_-_Horizon_Barcodep.pdf" TargetMode="External"/><Relationship Id="rId142" Type="http://schemas.openxmlformats.org/officeDocument/2006/relationships/hyperlink" Target="../../Contracts/Poplar/1%20-%20Agreements/Signed/MSA-VNA.Poplar.2022.FINAL.docx.pdf" TargetMode="External"/><Relationship Id="rId163" Type="http://schemas.openxmlformats.org/officeDocument/2006/relationships/hyperlink" Target="../../Contracts/Sports%20Medicine%20Research%20and%20Testing%20Lab/1%20-%20Agreements/Signed/VNA-SMRTL-MSA.docx.pdf" TargetMode="External"/><Relationship Id="rId3" Type="http://schemas.openxmlformats.org/officeDocument/2006/relationships/hyperlink" Target="../../Contracts/ACGI/3%20-%20SOWs/2018%20Proposal/SOW-ACGI%20-%20On%20Demand%20Consulting.pdf" TargetMode="External"/><Relationship Id="rId25" Type="http://schemas.openxmlformats.org/officeDocument/2006/relationships/hyperlink" Target="../../Contracts/IN-N-Out/4%20-%20SOWs/Signed%20SOWs/INO%20SOW%207.8.2022.EXECUTED%20(1).pdf" TargetMode="External"/><Relationship Id="rId46" Type="http://schemas.openxmlformats.org/officeDocument/2006/relationships/hyperlink" Target="../../Contracts/Record%20Deposition%20Service%20(RDS)/2%20-%20SOWs/Signed%20SOWs/DOC012121-01212021101936.pdf" TargetMode="External"/><Relationship Id="rId67" Type="http://schemas.openxmlformats.org/officeDocument/2006/relationships/hyperlink" Target="../../Contracts/National%20Mango%20Board/3%20-%20SOWS/SOW%20-%20NMB_Custom%20APEX%20Training_June%202022.docx?web=1" TargetMode="External"/><Relationship Id="rId116" Type="http://schemas.openxmlformats.org/officeDocument/2006/relationships/hyperlink" Target="../../Contracts/BDO-Harris%20County/1%20-%20Agreements/Consulting%20Agreement%20-%20Viscosity%20-%20BDO%206-17-17-v4-%20countersigned.pdf" TargetMode="External"/><Relationship Id="rId137" Type="http://schemas.openxmlformats.org/officeDocument/2006/relationships/hyperlink" Target="../../Contracts/DISD/4%20-%20SOWs/2023/DISD-_BOS_Managed-Services-SOW.2023.75_Hours.docx.pdf" TargetMode="External"/><Relationship Id="rId158" Type="http://schemas.openxmlformats.org/officeDocument/2006/relationships/hyperlink" Target="../../Contracts/American%20Leather/2%20-%20SOWs/Signed/ecommerce%20program%20manager%20support%20SOW%20signed%209%20December%202023.pdf" TargetMode="External"/><Relationship Id="rId20" Type="http://schemas.openxmlformats.org/officeDocument/2006/relationships/hyperlink" Target="../../Contracts/HRL/5%20-%20Agreements/Signed/Consultant%20Agreement%20Viscosity%20North%20America%20211033-HC%20-%20FS.pdf" TargetMode="External"/><Relationship Id="rId41" Type="http://schemas.openxmlformats.org/officeDocument/2006/relationships/hyperlink" Target="../../Contracts/Poplar/5%20-%20Agreements/Signed/MSA-VNA.Poplar.2022.FINAL.docx.pdf" TargetMode="External"/><Relationship Id="rId62" Type="http://schemas.openxmlformats.org/officeDocument/2006/relationships/hyperlink" Target="../../Contracts/Athenian/1%20-%20Agreements/VNA%20-Athenian%20-MNDA%20November%202022.doc.pdf" TargetMode="External"/><Relationship Id="rId83" Type="http://schemas.openxmlformats.org/officeDocument/2006/relationships/hyperlink" Target="../../Contracts/ST%20Genetics/4%20-%20SOWs/STGEN%20Surge%20SOW.2020DEC.docx" TargetMode="External"/><Relationship Id="rId88" Type="http://schemas.openxmlformats.org/officeDocument/2006/relationships/hyperlink" Target="../../Contracts/WWCT/5%20-%20Agreements/ViscTech_MSA_20May2020_Draft_new.docx.pdf" TargetMode="External"/><Relationship Id="rId111" Type="http://schemas.openxmlformats.org/officeDocument/2006/relationships/hyperlink" Target="../../Contracts/ABC%20Fitness%20Solutions/4%20-%20SOWs/ABC.India%20Offshore%20DBA%20SOW.20230217.docx.pdf" TargetMode="External"/><Relationship Id="rId132" Type="http://schemas.openxmlformats.org/officeDocument/2006/relationships/hyperlink" Target="../../Contracts/CTOT%20-%20Capital%20Title%20of%20Texas/2%20-%20SOWs/20220323145021615_CTOTsigned_2022.03.23.pdf" TargetMode="External"/><Relationship Id="rId153" Type="http://schemas.openxmlformats.org/officeDocument/2006/relationships/hyperlink" Target="../../../../../../OneDrive%20-%20Viscosity%20North%20America,%20Inc/General/Contracts/CAP/3%20-%20Agreements/PO%2087781%20Viscosity%20MASTER%20SERVICES%20AGREEMENT.pdf" TargetMode="External"/><Relationship Id="rId174" Type="http://schemas.openxmlformats.org/officeDocument/2006/relationships/hyperlink" Target="../../Contracts/Follett/Follet%20Content%20Solutions%20LLC%20(SQL%20Server)/MSA%20and%20NDA/Signed/VT.MNDA.Follett%20Content%20Solutions.24JAN2024%20(002)%20Follett%20Comments%20FINAL.doc.pdf" TargetMode="External"/><Relationship Id="rId179" Type="http://schemas.openxmlformats.org/officeDocument/2006/relationships/vmlDrawing" Target="../drawings/vmlDrawing3.vml"/><Relationship Id="rId15" Type="http://schemas.openxmlformats.org/officeDocument/2006/relationships/hyperlink" Target="../../Contracts/Dominion%20Energy/1-%20Agreements/6163-01A-57112-A5%20Sumner%20Amended%20CSA.pdf" TargetMode="External"/><Relationship Id="rId36" Type="http://schemas.openxmlformats.org/officeDocument/2006/relationships/hyperlink" Target="../../Contracts/Neiman%20Marcus/1%20-%20Agreements/NDA/Viscosity_MNDA_2017doc.pdf" TargetMode="External"/><Relationship Id="rId57" Type="http://schemas.openxmlformats.org/officeDocument/2006/relationships/hyperlink" Target="../../Contracts/Dominion%20Energy/4%20-%20Accounting%20%26%20Purchase%20Orders/50162702%20DEQP%20Mobile%20Pipeline-%20Staff%20Aug-Purchase%20Order.Executed%20PO6MOS..PDF" TargetMode="External"/><Relationship Id="rId106" Type="http://schemas.openxmlformats.org/officeDocument/2006/relationships/hyperlink" Target="../../Contracts/RL%20Carriers/2%20-%20SOW/Signed/Viscosity%20Health%20Check%20SOW.FINAL.docx.pdf" TargetMode="External"/><Relationship Id="rId127" Type="http://schemas.openxmlformats.org/officeDocument/2006/relationships/hyperlink" Target="../../Contracts/American%20Leather/2%20-%20SOWs/Signed/SOW.AMERICAN%20LEATHER.VNA%20STAFF%20AUGUMENTATION.APR2023.docx.pdf" TargetMode="External"/><Relationship Id="rId10" Type="http://schemas.openxmlformats.org/officeDocument/2006/relationships/hyperlink" Target="../../Contracts/COE/4%20-%20SOWs/2019/COE_DBA_Sep_2019.docx?web=1" TargetMode="External"/><Relationship Id="rId31" Type="http://schemas.openxmlformats.org/officeDocument/2006/relationships/hyperlink" Target="../../Contracts/Merit%20Medical/4%20-%20SOWs/Signed/Merit%20Medical%20Bucket%20of%20Hours.20220805.EXECUTED.pdf" TargetMode="External"/><Relationship Id="rId52" Type="http://schemas.openxmlformats.org/officeDocument/2006/relationships/hyperlink" Target="../../Contracts/Morris-Shea/5%20-%20Agreements/VNA%20Morris-Shea%20MSA%20v1.docx?web=1" TargetMode="External"/><Relationship Id="rId73" Type="http://schemas.openxmlformats.org/officeDocument/2006/relationships/hyperlink" Target="../../Contracts/IQN/3-%20Agreements/Beeline_CounterSigned.pdf" TargetMode="External"/><Relationship Id="rId78" Type="http://schemas.openxmlformats.org/officeDocument/2006/relationships/hyperlink" Target="../../Contracts/Salt%20Lake%20CC/Servicelink/2%20-%20SOWs/SoW/SOW%20Viscosity%20North%20America,%20Inc.%20signed.pdf" TargetMode="External"/><Relationship Id="rId94" Type="http://schemas.openxmlformats.org/officeDocument/2006/relationships/hyperlink" Target="../../Contracts/Follett/1-%20Agreements/Signed%20Agreements/MSA-VT%20Gold%20Follett%202022%20-%20FINAL%206-20-22%20(002).pdf" TargetMode="External"/><Relationship Id="rId99" Type="http://schemas.openxmlformats.org/officeDocument/2006/relationships/hyperlink" Target="../../Contracts/Transnetyx/5%20-%20Agreements/Viscosity%20Transnetyx%20MSA.pdf" TargetMode="External"/><Relationship Id="rId101" Type="http://schemas.openxmlformats.org/officeDocument/2006/relationships/hyperlink" Target="../../Contracts/CACI-%20FKA-%20LGS%20Innovations/2%20-%20SOWs/Signed%202022-2023/KURT%20Statement%20of%20Work%20(SOW)%20Viscosity%20for%20Sign_6DEC2022%20-%20signed.pdf" TargetMode="External"/><Relationship Id="rId122" Type="http://schemas.openxmlformats.org/officeDocument/2006/relationships/hyperlink" Target="../../Contracts/UMass%20Memorial/1%20-%20Agreements/Contracts/Viscosity%20North%20America%20MSA%209-1-17%20to%208-31-18%20(5980).pdf" TargetMode="External"/><Relationship Id="rId143" Type="http://schemas.openxmlformats.org/officeDocument/2006/relationships/hyperlink" Target="../../Contracts/Clario/2%20-%20SOWs/SIGNED/Clario_Linux_Unix_ODA_Managed_Services_SOW.v3.ADDENDUM.20221122.13.19.docx.pdf" TargetMode="External"/><Relationship Id="rId148" Type="http://schemas.openxmlformats.org/officeDocument/2006/relationships/hyperlink" Target="../../../../../../../../../../../../../../../../../../../../../../../../../../../leisa/Viscosity%20North%20America,%20Inc/VNA-%20Sales%20-%20General/Contracts/MountainWest%20Pipeline/2%20-%20SOWs/Executed/MOUNTAINWEST_PIPELINE.VNA.RETAINER.JUNE2023.docx.pdf" TargetMode="External"/><Relationship Id="rId164" Type="http://schemas.openxmlformats.org/officeDocument/2006/relationships/hyperlink" Target="../../Contracts/Transnetyx/4%20-%20SOWs/Signed/Transnetyx%20Managed%20Services%20Database%20Support%20SOW%202024.docx.pdf" TargetMode="External"/><Relationship Id="rId169" Type="http://schemas.openxmlformats.org/officeDocument/2006/relationships/hyperlink" Target="../../Contracts/DISD/4%20-%20SOWs/Managed%20Services/2023/DISD-_BOS_Managed-Services-SOW.2023.75_Hours.v2.docx.pdf" TargetMode="External"/><Relationship Id="rId4" Type="http://schemas.openxmlformats.org/officeDocument/2006/relationships/hyperlink" Target="../../Contracts/ABC%20Financial/4%20-%20SOWs/Please_DocuSign_Viscosity_FBI_-_Optimization.pdf" TargetMode="External"/><Relationship Id="rId9" Type="http://schemas.openxmlformats.org/officeDocument/2006/relationships/hyperlink" Target="../../Contracts/COE/5%20-%20Agreements/MSA/Viscosity%20Master%20Services%20Agreement.pdf" TargetMode="External"/><Relationship Id="rId180" Type="http://schemas.openxmlformats.org/officeDocument/2006/relationships/table" Target="../tables/table5.xml"/><Relationship Id="rId26" Type="http://schemas.openxmlformats.org/officeDocument/2006/relationships/hyperlink" Target="../../Contracts/Jiffy%20Lube/1%20-%20SOWs/Signed%20SOWs/Jiffy_Lube_DW_Solution_%26_Data_Resiliency_analysis_SOW.v2.1.docx.pdf" TargetMode="External"/><Relationship Id="rId47" Type="http://schemas.openxmlformats.org/officeDocument/2006/relationships/hyperlink" Target="../../Contracts/RDS/4%20-%20SOWs/Signed%20SOWs/Viscosity%20x%20RDS.pdf" TargetMode="External"/><Relationship Id="rId68" Type="http://schemas.openxmlformats.org/officeDocument/2006/relationships/hyperlink" Target="../../Contracts/MountainWest%20Pipeline/1-%20Agreements/Project%20Jazz%20-%20Viscosity%20MSA%20-%20signed.pdf" TargetMode="External"/><Relationship Id="rId89" Type="http://schemas.openxmlformats.org/officeDocument/2006/relationships/hyperlink" Target="../../Contracts/WWCT/4%20-%20SOWs/Signed%20SOWs/2023/Worldwide_Clinical_Trials_Managed_Services_Database_Support_SOW_April_2023__5-16_Updates.docx.pdf" TargetMode="External"/><Relationship Id="rId112" Type="http://schemas.openxmlformats.org/officeDocument/2006/relationships/hyperlink" Target="../../Contracts/Computex/2%20-%20Subcontracts/Computex-Dresser/SOW/CIMJET%20ASSESSMENT/VNA.COMPUTEX.DRESSER%20UTILITY.CIMJIT%20ASSESSMENT.10042022%20Signed.pdf" TargetMode="External"/><Relationship Id="rId133" Type="http://schemas.openxmlformats.org/officeDocument/2006/relationships/hyperlink" Target="../../Contracts/DISD/4%20-%20SOWs/2023/DISD-_BOS_Managed-Services-SOW.2023.75_Hours.docx.pdf" TargetMode="External"/><Relationship Id="rId154" Type="http://schemas.openxmlformats.org/officeDocument/2006/relationships/hyperlink" Target="../../../../../../OneDrive%20-%20Viscosity%20North%20America,%20Inc/General/Contracts/Lamar%20Trailers/1%20-%20Agreements/LAMAR%20TRAILERS.VNA.MSA.2023.docx.pdf" TargetMode="External"/><Relationship Id="rId175" Type="http://schemas.openxmlformats.org/officeDocument/2006/relationships/hyperlink" Target="../../Contracts/Follett/Follett%20School%20Solutions%20LLC%20(Oracle%20EBS)/2%20-%20SOWs/Signed%20SOW/Follett%20Managed%20Services%20Database%20Support%20SOW%2002MAY.V4%20Follett%20edits%20v1%20(5.18.2022)%20Changes%20Accepted%20(002).pdf" TargetMode="External"/><Relationship Id="rId16" Type="http://schemas.openxmlformats.org/officeDocument/2006/relationships/hyperlink" Target="../../Contracts/Florida%20Realtors/5%20-%20Agreements/Signed/Signed%20msa-vt%20gold%20template%202021%20-%20modified.pdf" TargetMode="External"/><Relationship Id="rId37" Type="http://schemas.openxmlformats.org/officeDocument/2006/relationships/hyperlink" Target="../../Contracts/Neiman%20Marcus/2%20-%20SOWs/Signed%20SOWs/Viscosity%20VMO-5813%20ODA%20Migration%20SOW.July2022.docx.pdf" TargetMode="External"/><Relationship Id="rId58" Type="http://schemas.openxmlformats.org/officeDocument/2006/relationships/hyperlink" Target="../../Contracts/Dominion%20Energy/4%20-%20Accounting%20%26%20Purchase%20Orders/50162797%20Viscosity%20Change%20Order%201.VNA%20SIGNED.PDF" TargetMode="External"/><Relationship Id="rId79" Type="http://schemas.openxmlformats.org/officeDocument/2006/relationships/hyperlink" Target="../../Contracts/Sherwin%20Williams/1%20-%20Agreements/Executed_Viscosity_North_America_NDA_05282019.pdf" TargetMode="External"/><Relationship Id="rId102" Type="http://schemas.openxmlformats.org/officeDocument/2006/relationships/hyperlink" Target="../../Contracts/CACI-%20FKA-%20LGS%20Innovations/3%20-%20Agreements/MSA/LGS%20terms%20and%20conditions%20-%20DW%20072519%20(redline%20of%20LGS%20original).docx?web=1" TargetMode="External"/><Relationship Id="rId123" Type="http://schemas.openxmlformats.org/officeDocument/2006/relationships/hyperlink" Target="../../Contracts/Globalstar/2%20-%20SOWs/SIgned/Globalstar_SOW_for_ODA_Implementation.V3.03102023.docx.pdf" TargetMode="External"/><Relationship Id="rId144" Type="http://schemas.openxmlformats.org/officeDocument/2006/relationships/hyperlink" Target="../../Contracts/IdenTrust/2%20-%20SOWs/Signed%20SOWs/IdenTrust%20Retainer%20Services%20-%20Schedule%20A%20VT%20-%20Signed.pdf" TargetMode="External"/><Relationship Id="rId90" Type="http://schemas.openxmlformats.org/officeDocument/2006/relationships/hyperlink" Target="../../Contracts/CTOT%20-%20Capital%20Title%20of%20Texas/1%20-%20Agreements/Viscosity_MSA_CapitalTitle_CRM_11132020%20(signed).pdf" TargetMode="External"/><Relationship Id="rId165" Type="http://schemas.openxmlformats.org/officeDocument/2006/relationships/hyperlink" Target="../../Contracts/American%20Leather/2%20-%20SOWs/Signed/SOW_HRMS_and_Financial_Archiving..Executed.pdf" TargetMode="External"/><Relationship Id="rId27" Type="http://schemas.openxmlformats.org/officeDocument/2006/relationships/hyperlink" Target="../../Contracts/Merit%20Energy/2%20-%20SOWs/2021/SuSe%20Upgrade%202021%20SoW%20v1%200-%20signed.pdf" TargetMode="External"/><Relationship Id="rId48" Type="http://schemas.openxmlformats.org/officeDocument/2006/relationships/hyperlink" Target="../../Contracts/RIA-Nationwide/1%20-%20SOWs/Signed%20SOWs/RIA-Managed%20Services%20Proposal_final.pdf" TargetMode="External"/><Relationship Id="rId69" Type="http://schemas.openxmlformats.org/officeDocument/2006/relationships/hyperlink" Target="../../Contracts/MountainWest%20Pipeline/2%20-%20SOWs/Executed/Project%20Jazz%20-%20Viscosity%20SoW%20-%20signed.pdf" TargetMode="External"/><Relationship Id="rId113" Type="http://schemas.openxmlformats.org/officeDocument/2006/relationships/hyperlink" Target="../../Contracts/Computex/2%20-%20Subcontracts/POs/PO223602M-Callian.DRESSER%20EBS%20Migration%20Assessment.01102023.pdf" TargetMode="External"/><Relationship Id="rId134" Type="http://schemas.openxmlformats.org/officeDocument/2006/relationships/hyperlink" Target="../../Contracts/MountainWest%20Pipeline/3%20-%20POs/RE_%20EXTERNAL_%20RE_%20MWP%20_%20January%202023%20Billing.pdf" TargetMode="External"/><Relationship Id="rId80" Type="http://schemas.openxmlformats.org/officeDocument/2006/relationships/hyperlink" Target="../../Contracts/Sherwin%20Williams/1%20-%20Agreements/MSA-VNA_Sherwin%20Williams.docx" TargetMode="External"/><Relationship Id="rId155" Type="http://schemas.openxmlformats.org/officeDocument/2006/relationships/hyperlink" Target="../../../../../../OneDrive%20-%20Viscosity%20North%20America,%20Inc/General/Contracts/ABC%20Fitness%20Solutions/4%20-%20SOWs/Signed/VNA.ABC_Professional%20Services_SoW_Q4%202023.docx.pdf" TargetMode="External"/><Relationship Id="rId176" Type="http://schemas.openxmlformats.org/officeDocument/2006/relationships/hyperlink" Target="../../Contracts/Rent-A-Center%20(RAC)/2-%20SOW/RAC%20Performance%20Assessment.docx?web=1" TargetMode="External"/><Relationship Id="rId17" Type="http://schemas.openxmlformats.org/officeDocument/2006/relationships/hyperlink" Target="../../Contracts/Florida%20Realtors/4%20-%20SOWs/Signed%20SOWs/Florida%20Realtors%20Monitoring%20Support%20Renewal%20Oct%202022%20-%20Signed.pdf" TargetMode="External"/><Relationship Id="rId38" Type="http://schemas.openxmlformats.org/officeDocument/2006/relationships/hyperlink" Target="../../Contracts/NeoSystems/5%20-%20Agreements/Signed/VNA%20Master%20Services%20Agreement%20NeoSystems%20May-2018-countersigned.pdf" TargetMode="External"/><Relationship Id="rId59" Type="http://schemas.openxmlformats.org/officeDocument/2006/relationships/hyperlink" Target="../../Contracts/Saracen%20Energy/1-%20Agreements/Signed/Saracen%20signed%20MSA%20(002).pdf" TargetMode="External"/><Relationship Id="rId103" Type="http://schemas.openxmlformats.org/officeDocument/2006/relationships/hyperlink" Target="../../Contracts/WWCT/6%20-%20Accounting%20&amp;%20Purchase%20Orders/PO1004340%20Viscosity%20Managed%20Services%202023.pdf" TargetMode="External"/><Relationship Id="rId124" Type="http://schemas.openxmlformats.org/officeDocument/2006/relationships/hyperlink" Target="../../Contracts/Standard%20Lithium%20Ltd/1-%20Agreements/Signed/VNA.MNDA.2023%20-%20Standard%20Lithium%20Ltd..doc.pdf" TargetMode="External"/><Relationship Id="rId70" Type="http://schemas.openxmlformats.org/officeDocument/2006/relationships/hyperlink" Target="../../Contracts/Excellus%20-%20BCBS/1%20-%20SOWs/Signed/Excellus.SOW.NO6.CONTRACT%20ID%20EHP-6621.pdf" TargetMode="External"/><Relationship Id="rId91" Type="http://schemas.openxmlformats.org/officeDocument/2006/relationships/hyperlink" Target="../../Contracts/Clario/1%20-%20Agreements/Signed/Viscosity_NDA_26Jul22_VNA_SIGNED.docx.pdf" TargetMode="External"/><Relationship Id="rId145" Type="http://schemas.openxmlformats.org/officeDocument/2006/relationships/hyperlink" Target="../../Contracts/IdenTrust/3%20-%20Accounting%20&amp;%20Purchase%20Orders/2023/IDENTRUST%20Performance%20Tuning%202023%20PO-20069.pdf" TargetMode="External"/><Relationship Id="rId166" Type="http://schemas.openxmlformats.org/officeDocument/2006/relationships/hyperlink" Target="../../Contracts/NGCSI/2%20-%20SOW/NGCSI.VNA.Enterprise%20Asset%20Management%20System.SOW.JULY2023.pdf" TargetMode="External"/><Relationship Id="rId1" Type="http://schemas.openxmlformats.org/officeDocument/2006/relationships/hyperlink" Target="../../Contracts/ABC%20Financial/5%20-%20Agreements/ABC%20Financial%20Viscosity%20MSA.Final.pdf" TargetMode="External"/><Relationship Id="rId28" Type="http://schemas.openxmlformats.org/officeDocument/2006/relationships/hyperlink" Target="../../Contracts/Merit%20Medical/4%20-%20SOWs/Signed/Merit%20Medical%20IO%20Performance%20Review%20SOW%20SIGNED.pdf" TargetMode="External"/><Relationship Id="rId49" Type="http://schemas.openxmlformats.org/officeDocument/2006/relationships/hyperlink" Target="../../Contracts/RIA/4%20-%20SOWs/Signed%20SOWs/RIA%2019c%20Upgrade%20Signed.pdf" TargetMode="External"/><Relationship Id="rId114" Type="http://schemas.openxmlformats.org/officeDocument/2006/relationships/hyperlink" Target="../../Contracts/DISD/5%20-%20Accounting%20&amp;%20Purchase%20Orders/PO_102_922103_0_US.APEX%20RENEWAL.2023.pdf" TargetMode="External"/></Relationships>
</file>

<file path=xl/worksheets/_rels/sheet9.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3" Type="http://schemas.openxmlformats.org/officeDocument/2006/relationships/hyperlink" Target="../../Contracts/IdenTrust/2%20-%20SOWs/Signed%20SOWs/IdenTrust%20Retainer%20Services%20-%20Schedule%20A%20VT%20-%20Signed.pdf" TargetMode="External"/><Relationship Id="rId2" Type="http://schemas.openxmlformats.org/officeDocument/2006/relationships/hyperlink" Target="../../Contracts/Follett/2%20-%20SOWs/Signed%20SOW/Follett%20Managed%20Services%20Database%20Support%20SOW%2002MAY.V4%20Follett%20edits%20v1%20(5.18.2022)%20Changes%20Accepted%20(002).pdf" TargetMode="External"/><Relationship Id="rId1" Type="http://schemas.openxmlformats.org/officeDocument/2006/relationships/hyperlink" Target="../../Contracts/AHA/2%20-%20SOWs/2022/121240_S08_Viscosity_North_America.pdf" TargetMode="External"/><Relationship Id="rId6" Type="http://schemas.openxmlformats.org/officeDocument/2006/relationships/drawing" Target="../drawings/drawing4.xml"/><Relationship Id="rId5" Type="http://schemas.openxmlformats.org/officeDocument/2006/relationships/printerSettings" Target="../printerSettings/printerSettings5.bin"/><Relationship Id="rId4" Type="http://schemas.openxmlformats.org/officeDocument/2006/relationships/hyperlink" Target="../../Contracts/UMass%20Memorial/2%20-%20SOW/Viscosity%20North%20America%20Managed%20Services%20Proposal%20-%20Oracle%20Database%20Remote%20Support%20Services%2010-2020%20to%2010-2021%20(5980).pdf" TargetMode="Externa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5.xml"/><Relationship Id="rId1" Type="http://schemas.openxmlformats.org/officeDocument/2006/relationships/printerSettings" Target="../printerSettings/printerSettings7.bin"/><Relationship Id="rId4" Type="http://schemas.openxmlformats.org/officeDocument/2006/relationships/comments" Target="../comments4.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0.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1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tabColor rgb="FFEEACAC"/>
  </sheetPr>
  <dimension ref="B1:AS131"/>
  <sheetViews>
    <sheetView showGridLines="0" tabSelected="1" zoomScale="94" zoomScaleNormal="94" zoomScaleSheetLayoutView="50" workbookViewId="0">
      <pane xSplit="7" ySplit="2" topLeftCell="H111" activePane="bottomRight" state="frozen"/>
      <selection pane="topRight" activeCell="F1" sqref="F1"/>
      <selection pane="bottomLeft" activeCell="A3" sqref="A3"/>
      <selection pane="bottomRight" activeCell="D123" sqref="D123"/>
    </sheetView>
  </sheetViews>
  <sheetFormatPr defaultColWidth="8.7109375" defaultRowHeight="15" outlineLevelCol="1"/>
  <cols>
    <col min="1" max="1" width="1.42578125" style="52" customWidth="1"/>
    <col min="2" max="2" width="49.85546875" style="155" customWidth="1"/>
    <col min="3" max="3" width="18.5703125" style="91" customWidth="1"/>
    <col min="4" max="4" width="16.5703125" style="206" customWidth="1"/>
    <col min="5" max="5" width="8.7109375" style="111"/>
    <col min="6" max="6" width="12.42578125" style="72" customWidth="1" collapsed="1"/>
    <col min="7" max="7" width="14.28515625" style="72" customWidth="1"/>
    <col min="8" max="8" width="11.28515625" style="140" customWidth="1"/>
    <col min="9" max="9" width="65.5703125" style="140" bestFit="1" customWidth="1"/>
    <col min="11" max="11" width="13.7109375" style="57" customWidth="1"/>
    <col min="12" max="12" width="13.28515625" style="57" bestFit="1" customWidth="1"/>
    <col min="13" max="13" width="12.7109375" bestFit="1" customWidth="1"/>
    <col min="14" max="14" width="16.28515625" style="92" customWidth="1"/>
    <col min="15" max="15" width="14.28515625" style="52" customWidth="1"/>
    <col min="16" max="16" width="16.28515625" style="52" customWidth="1"/>
    <col min="17" max="17" width="14.28515625" style="92" customWidth="1"/>
    <col min="18" max="18" width="16.28515625" style="92" bestFit="1" customWidth="1"/>
    <col min="19" max="19" width="14.5703125" style="92" customWidth="1" outlineLevel="1"/>
    <col min="20" max="20" width="14.7109375" style="92" customWidth="1" outlineLevel="1"/>
    <col min="21" max="21" width="15.42578125" style="93" customWidth="1" outlineLevel="1"/>
    <col min="22" max="22" width="14.42578125" style="92" customWidth="1" outlineLevel="1"/>
    <col min="23" max="23" width="19.28515625" style="92" customWidth="1" outlineLevel="1"/>
    <col min="24" max="24" width="15.5703125" style="92" customWidth="1" outlineLevel="1"/>
    <col min="25" max="25" width="15.28515625" style="92" customWidth="1" outlineLevel="1"/>
    <col min="26" max="26" width="17.7109375" style="92" customWidth="1" outlineLevel="1"/>
    <col min="27" max="27" width="20.7109375" style="52" customWidth="1" outlineLevel="1"/>
    <col min="28" max="28" width="15.42578125" style="94" customWidth="1" outlineLevel="1"/>
    <col min="29" max="29" width="17.28515625" style="94" customWidth="1" outlineLevel="1"/>
    <col min="30" max="30" width="20.28515625" style="94" customWidth="1" outlineLevel="1"/>
    <col min="31" max="32" width="19" style="94" customWidth="1" outlineLevel="1"/>
    <col min="33" max="37" width="16.28515625" style="94" customWidth="1" outlineLevel="1"/>
    <col min="38" max="38" width="94.85546875" style="94" customWidth="1"/>
    <col min="39" max="39" width="118.7109375" style="94" customWidth="1"/>
    <col min="40" max="40" width="141.28515625" style="112" customWidth="1"/>
    <col min="41" max="41" width="103.7109375" style="52" customWidth="1"/>
    <col min="42" max="42" width="69.42578125" style="72" bestFit="1" customWidth="1"/>
    <col min="43" max="43" width="15.5703125" style="51" bestFit="1" customWidth="1"/>
    <col min="44" max="44" width="20.28515625" style="52" bestFit="1" customWidth="1"/>
    <col min="45" max="45" width="8.42578125" style="52" bestFit="1" customWidth="1"/>
    <col min="46" max="46" width="7.7109375" style="52" customWidth="1"/>
    <col min="47" max="16384" width="8.7109375" style="52"/>
  </cols>
  <sheetData>
    <row r="1" spans="2:43" ht="24" thickBot="1">
      <c r="B1" s="242" t="s">
        <v>0</v>
      </c>
      <c r="E1" s="52"/>
      <c r="J1" s="57"/>
      <c r="L1" s="92"/>
      <c r="M1" s="92"/>
      <c r="N1" s="93"/>
      <c r="O1" s="92"/>
      <c r="P1" s="92"/>
      <c r="R1" s="52"/>
      <c r="S1" s="52"/>
      <c r="T1" s="52"/>
      <c r="U1" s="52"/>
      <c r="V1" s="94"/>
      <c r="W1" s="94"/>
      <c r="X1" s="52"/>
      <c r="Y1" s="52"/>
      <c r="Z1" s="52"/>
      <c r="AB1" s="52"/>
      <c r="AC1" s="52"/>
      <c r="AD1" s="52"/>
      <c r="AE1" s="52"/>
      <c r="AF1" s="52"/>
      <c r="AG1" s="52"/>
      <c r="AH1" s="52"/>
      <c r="AI1" s="52"/>
      <c r="AJ1" s="52"/>
      <c r="AK1" s="95"/>
      <c r="AL1" s="52"/>
      <c r="AM1" s="52"/>
      <c r="AN1" s="52"/>
      <c r="AP1" s="52"/>
      <c r="AQ1" s="52"/>
    </row>
    <row r="2" spans="2:43" s="165" customFormat="1" ht="60.75" thickBot="1">
      <c r="B2" s="260" t="s">
        <v>1</v>
      </c>
      <c r="C2" s="261" t="s">
        <v>2</v>
      </c>
      <c r="D2" s="261" t="s">
        <v>3</v>
      </c>
      <c r="E2" s="262" t="s">
        <v>4</v>
      </c>
      <c r="F2" s="262" t="s">
        <v>5</v>
      </c>
      <c r="G2" s="262" t="s">
        <v>6</v>
      </c>
      <c r="H2" s="262" t="s">
        <v>7</v>
      </c>
      <c r="I2" s="262" t="s">
        <v>8</v>
      </c>
      <c r="J2" s="262" t="s">
        <v>9</v>
      </c>
      <c r="K2" s="262" t="s">
        <v>10</v>
      </c>
      <c r="L2" s="262" t="s">
        <v>11</v>
      </c>
      <c r="M2" s="262" t="s">
        <v>12</v>
      </c>
      <c r="N2" s="263" t="s">
        <v>13</v>
      </c>
      <c r="O2" s="262" t="s">
        <v>14</v>
      </c>
      <c r="P2" s="262" t="s">
        <v>15</v>
      </c>
      <c r="Q2" s="262" t="s">
        <v>16</v>
      </c>
      <c r="R2" s="262" t="s">
        <v>17</v>
      </c>
      <c r="S2" s="262" t="s">
        <v>18</v>
      </c>
      <c r="T2" s="262" t="s">
        <v>19</v>
      </c>
      <c r="U2" s="262" t="s">
        <v>20</v>
      </c>
      <c r="V2" s="262" t="s">
        <v>21</v>
      </c>
      <c r="W2" s="262" t="s">
        <v>22</v>
      </c>
      <c r="X2" s="264" t="s">
        <v>23</v>
      </c>
      <c r="Y2" s="264" t="s">
        <v>24</v>
      </c>
      <c r="Z2" s="264" t="s">
        <v>25</v>
      </c>
      <c r="AA2" s="264" t="s">
        <v>26</v>
      </c>
      <c r="AB2" s="264" t="s">
        <v>27</v>
      </c>
      <c r="AC2" s="264" t="s">
        <v>28</v>
      </c>
      <c r="AD2" s="264" t="s">
        <v>29</v>
      </c>
      <c r="AE2" s="264" t="s">
        <v>30</v>
      </c>
      <c r="AF2" s="264" t="s">
        <v>31</v>
      </c>
      <c r="AG2" s="264" t="s">
        <v>32</v>
      </c>
      <c r="AH2" s="264" t="s">
        <v>33</v>
      </c>
      <c r="AI2" s="264" t="s">
        <v>34</v>
      </c>
      <c r="AJ2" s="264" t="s">
        <v>35</v>
      </c>
      <c r="AK2" s="262" t="s">
        <v>36</v>
      </c>
      <c r="AL2" s="265" t="s">
        <v>37</v>
      </c>
      <c r="AM2" s="330" t="s">
        <v>38</v>
      </c>
      <c r="AN2" s="165" t="s">
        <v>39</v>
      </c>
      <c r="AO2" s="165" t="s">
        <v>40</v>
      </c>
    </row>
    <row r="3" spans="2:43">
      <c r="B3" s="155" t="s">
        <v>41</v>
      </c>
      <c r="C3" s="91" t="str">
        <f>IFERROR(VLOOKUP(B3,'QB Consolidated Contacts'!$A$1:$F$333,6),"-")</f>
        <v>Prakash Rikhilal</v>
      </c>
      <c r="E3" s="272" t="s">
        <v>42</v>
      </c>
      <c r="F3" s="221" t="s">
        <v>43</v>
      </c>
      <c r="G3" s="221" t="s">
        <v>44</v>
      </c>
      <c r="H3" s="302"/>
      <c r="I3" s="298" t="s">
        <v>45</v>
      </c>
      <c r="J3" s="271" t="s">
        <v>39</v>
      </c>
      <c r="K3" s="271"/>
      <c r="L3" s="93">
        <v>44053</v>
      </c>
      <c r="M3" s="92" t="s">
        <v>46</v>
      </c>
      <c r="N3" s="93" t="str">
        <f>IFERROR(EDATE(L3,M3),"")</f>
        <v/>
      </c>
      <c r="O3" s="92" t="str">
        <f ca="1">IFERROR(N3-TODAY(),"")</f>
        <v/>
      </c>
      <c r="P3" s="92" t="s">
        <v>39</v>
      </c>
      <c r="R3" s="94" t="s">
        <v>47</v>
      </c>
      <c r="S3" s="52" t="s">
        <v>47</v>
      </c>
      <c r="T3" s="52"/>
      <c r="U3" s="52"/>
      <c r="V3" s="52" t="s">
        <v>48</v>
      </c>
      <c r="W3" s="52"/>
      <c r="X3" s="94" t="s">
        <v>48</v>
      </c>
      <c r="Y3" s="94" t="s">
        <v>48</v>
      </c>
      <c r="Z3" s="94"/>
      <c r="AA3" s="94"/>
      <c r="AJ3" s="94" t="s">
        <v>49</v>
      </c>
      <c r="AK3" s="92" t="str">
        <f ca="1">IF(AGREEMENTS[[#This Row],[Days to Contract End]]&lt;=90,"R",IF(AND(AGREEMENTS[[#This Row],[Days to Contract End]]&lt;180),"A","G"))</f>
        <v>G</v>
      </c>
      <c r="AL3" s="235"/>
      <c r="AM3" s="325"/>
      <c r="AN3" s="52"/>
      <c r="AP3" s="52"/>
      <c r="AQ3" s="52"/>
    </row>
    <row r="4" spans="2:43" ht="30">
      <c r="B4" s="287" t="s">
        <v>50</v>
      </c>
      <c r="C4" s="278" t="str">
        <f>IFERROR(VLOOKUP(B4,'QB Consolidated Contacts'!$A$1:$F$333,6),"-")</f>
        <v>Prakash Rikhilal</v>
      </c>
      <c r="D4" s="210"/>
      <c r="E4" s="272" t="s">
        <v>51</v>
      </c>
      <c r="F4" s="221" t="s">
        <v>52</v>
      </c>
      <c r="G4" s="221" t="s">
        <v>53</v>
      </c>
      <c r="H4" s="314">
        <v>45770</v>
      </c>
      <c r="I4" s="237" t="s">
        <v>54</v>
      </c>
      <c r="J4" s="299" t="s">
        <v>39</v>
      </c>
      <c r="K4" s="276" t="s">
        <v>39</v>
      </c>
      <c r="L4" s="276"/>
      <c r="M4" s="275"/>
      <c r="N4" s="271">
        <f>IFERROR(EDATE(L4,M4),"")</f>
        <v>0</v>
      </c>
      <c r="O4" s="274">
        <f ca="1">IFERROR(N4-TODAY(),"")</f>
        <v>-46093</v>
      </c>
      <c r="P4" s="272"/>
      <c r="Q4" s="273"/>
      <c r="R4" s="273"/>
      <c r="S4" s="274"/>
      <c r="T4" s="57"/>
      <c r="U4" s="57"/>
      <c r="V4" s="279"/>
      <c r="W4" s="52"/>
      <c r="X4" s="311"/>
      <c r="Y4" s="312"/>
      <c r="Z4" s="94"/>
      <c r="AA4" s="94"/>
      <c r="AK4" s="92" t="str">
        <f ca="1">IF(AGREEMENTS[[#This Row],[Days to Contract End]]&lt;=90,"R",IF(AND(AGREEMENTS[[#This Row],[Days to Contract End]]&lt;180),"A","G"))</f>
        <v>R</v>
      </c>
      <c r="AL4" s="235"/>
      <c r="AM4" s="325"/>
      <c r="AN4" s="52"/>
      <c r="AP4" s="52"/>
      <c r="AQ4" s="52"/>
    </row>
    <row r="5" spans="2:43">
      <c r="B5" s="155" t="s">
        <v>55</v>
      </c>
      <c r="C5" s="91" t="str">
        <f>IFERROR(VLOOKUP(B5,'QB Consolidated Contacts'!$A$1:$F$333,6),"-")</f>
        <v>Kevin Hostintler</v>
      </c>
      <c r="E5" s="275" t="s">
        <v>42</v>
      </c>
      <c r="F5" s="221" t="s">
        <v>43</v>
      </c>
      <c r="G5" s="221" t="s">
        <v>44</v>
      </c>
      <c r="H5" s="294"/>
      <c r="I5" s="258" t="s">
        <v>45</v>
      </c>
      <c r="J5" s="276" t="s">
        <v>40</v>
      </c>
      <c r="K5" s="276"/>
      <c r="L5" s="93">
        <v>43252</v>
      </c>
      <c r="M5" s="92" t="s">
        <v>46</v>
      </c>
      <c r="N5" s="93" t="str">
        <f>IFERROR(EDATE(L5,M5),"")</f>
        <v/>
      </c>
      <c r="O5" s="92" t="str">
        <f ca="1">IFERROR(N5-TODAY(),"")</f>
        <v/>
      </c>
      <c r="P5" s="92" t="s">
        <v>39</v>
      </c>
      <c r="R5" s="94" t="s">
        <v>47</v>
      </c>
      <c r="S5" s="52" t="s">
        <v>47</v>
      </c>
      <c r="T5" s="52"/>
      <c r="U5" s="52"/>
      <c r="V5" s="52" t="s">
        <v>48</v>
      </c>
      <c r="W5" s="52"/>
      <c r="X5" s="94" t="s">
        <v>48</v>
      </c>
      <c r="Y5" s="94" t="s">
        <v>48</v>
      </c>
      <c r="Z5" s="94"/>
      <c r="AA5" s="94"/>
      <c r="AJ5" s="94" t="s">
        <v>49</v>
      </c>
      <c r="AK5" s="92" t="str">
        <f ca="1">IF(AGREEMENTS[[#This Row],[Days to Contract End]]&lt;=90,"R",IF(AND(AGREEMENTS[[#This Row],[Days to Contract End]]&lt;180),"A","G"))</f>
        <v>G</v>
      </c>
      <c r="AL5" s="235" t="s">
        <v>56</v>
      </c>
      <c r="AM5" s="326"/>
      <c r="AN5" s="52"/>
      <c r="AP5" s="52"/>
      <c r="AQ5" s="52"/>
    </row>
    <row r="6" spans="2:43">
      <c r="B6" s="155" t="s">
        <v>57</v>
      </c>
      <c r="C6" s="91" t="str">
        <f>IFERROR(VLOOKUP(B6,'QB Consolidated Contacts'!$A$1:$F$333,6),"-")</f>
        <v>Christina Green</v>
      </c>
      <c r="E6" s="272" t="s">
        <v>42</v>
      </c>
      <c r="F6" s="221" t="s">
        <v>43</v>
      </c>
      <c r="G6" s="221" t="s">
        <v>44</v>
      </c>
      <c r="H6" s="305"/>
      <c r="I6" s="293" t="s">
        <v>58</v>
      </c>
      <c r="J6" s="276" t="s">
        <v>40</v>
      </c>
      <c r="K6" s="276" t="s">
        <v>40</v>
      </c>
      <c r="L6" s="93"/>
      <c r="M6" s="92"/>
      <c r="N6" s="93">
        <f>IFERROR(EDATE(L6,M6),"")</f>
        <v>0</v>
      </c>
      <c r="O6" s="92">
        <f ca="1">IFERROR(N6-TODAY(),"")</f>
        <v>-46093</v>
      </c>
      <c r="P6" s="92"/>
      <c r="R6" s="52"/>
      <c r="S6" s="52"/>
      <c r="T6" s="52"/>
      <c r="U6" s="52"/>
      <c r="V6" s="52"/>
      <c r="W6" s="52"/>
      <c r="X6" s="94"/>
      <c r="Y6" s="94"/>
      <c r="Z6" s="94"/>
      <c r="AA6" s="94"/>
      <c r="AK6" s="92" t="str">
        <f ca="1">IF(AGREEMENTS[[#This Row],[Days to Contract End]]&lt;=90,"R",IF(AND(AGREEMENTS[[#This Row],[Days to Contract End]]&lt;180),"A","G"))</f>
        <v>R</v>
      </c>
      <c r="AL6" s="235"/>
      <c r="AM6" s="326"/>
      <c r="AN6" s="52"/>
      <c r="AP6" s="52"/>
      <c r="AQ6" s="52"/>
    </row>
    <row r="7" spans="2:43">
      <c r="B7" s="155" t="s">
        <v>59</v>
      </c>
      <c r="C7" s="91" t="str">
        <f>IFERROR(VLOOKUP(B7,'QB Consolidated Contacts'!$A$1:$F$333,6),"-")</f>
        <v>Roger Santone</v>
      </c>
      <c r="E7" s="275" t="s">
        <v>42</v>
      </c>
      <c r="F7" s="221" t="s">
        <v>43</v>
      </c>
      <c r="G7" s="221" t="s">
        <v>44</v>
      </c>
      <c r="H7" s="294"/>
      <c r="I7" s="258" t="s">
        <v>45</v>
      </c>
      <c r="J7" s="276" t="s">
        <v>39</v>
      </c>
      <c r="K7" s="276"/>
      <c r="L7" s="93">
        <v>42880</v>
      </c>
      <c r="M7" s="92" t="s">
        <v>46</v>
      </c>
      <c r="N7" s="93" t="str">
        <f>IFERROR(EDATE(L7,M7),"")</f>
        <v/>
      </c>
      <c r="O7" s="92" t="str">
        <f ca="1">IFERROR(N7-TODAY(),"")</f>
        <v/>
      </c>
      <c r="P7" s="92" t="s">
        <v>39</v>
      </c>
      <c r="R7" s="94" t="s">
        <v>60</v>
      </c>
      <c r="S7" s="52" t="s">
        <v>47</v>
      </c>
      <c r="T7" s="52"/>
      <c r="U7" s="52"/>
      <c r="V7" s="52" t="s">
        <v>61</v>
      </c>
      <c r="W7" s="52"/>
      <c r="X7" s="94" t="s">
        <v>62</v>
      </c>
      <c r="Y7" s="94" t="s">
        <v>47</v>
      </c>
      <c r="Z7" s="94"/>
      <c r="AA7" s="94"/>
      <c r="AJ7" s="94" t="s">
        <v>47</v>
      </c>
      <c r="AK7" s="92" t="str">
        <f ca="1">IF(AGREEMENTS[[#This Row],[Days to Contract End]]&lt;=90,"R",IF(AND(AGREEMENTS[[#This Row],[Days to Contract End]]&lt;180),"A","G"))</f>
        <v>G</v>
      </c>
      <c r="AL7" s="235"/>
      <c r="AM7" s="326"/>
      <c r="AN7" s="52"/>
      <c r="AP7" s="52"/>
      <c r="AQ7" s="52"/>
    </row>
    <row r="8" spans="2:43">
      <c r="B8" s="155" t="s">
        <v>63</v>
      </c>
      <c r="C8" s="91" t="str">
        <f>IFERROR(VLOOKUP(B8,'QB Consolidated Contacts'!$A$1:$F$333,6),"-")</f>
        <v>Roger Santone</v>
      </c>
      <c r="E8" s="275" t="s">
        <v>42</v>
      </c>
      <c r="F8" s="221" t="s">
        <v>43</v>
      </c>
      <c r="G8" s="221" t="s">
        <v>44</v>
      </c>
      <c r="H8" s="294"/>
      <c r="I8" s="257" t="s">
        <v>64</v>
      </c>
      <c r="J8" s="276" t="s">
        <v>39</v>
      </c>
      <c r="K8" s="276" t="s">
        <v>39</v>
      </c>
      <c r="L8" s="93">
        <v>45139</v>
      </c>
      <c r="M8" s="92" t="s">
        <v>46</v>
      </c>
      <c r="N8" s="93" t="str">
        <f>IFERROR(EDATE(L8,M8),"")</f>
        <v/>
      </c>
      <c r="O8" s="92" t="str">
        <f ca="1">IFERROR(N8-TODAY(),"")</f>
        <v/>
      </c>
      <c r="P8" s="92"/>
      <c r="R8" s="94"/>
      <c r="S8" s="52"/>
      <c r="T8" s="52"/>
      <c r="U8" s="52"/>
      <c r="V8" s="52"/>
      <c r="W8" s="52"/>
      <c r="X8" s="94"/>
      <c r="Y8" s="94"/>
      <c r="Z8" s="94"/>
      <c r="AA8" s="94"/>
      <c r="AK8" s="92" t="str">
        <f ca="1">IF(AGREEMENTS[[#This Row],[Days to Contract End]]&lt;=90,"R",IF(AND(AGREEMENTS[[#This Row],[Days to Contract End]]&lt;180),"A","G"))</f>
        <v>G</v>
      </c>
      <c r="AL8" s="235"/>
      <c r="AM8" s="326"/>
      <c r="AN8" s="52"/>
      <c r="AP8" s="52"/>
      <c r="AQ8" s="52"/>
    </row>
    <row r="9" spans="2:43">
      <c r="B9" s="287" t="s">
        <v>65</v>
      </c>
      <c r="C9" s="278" t="str">
        <f>IFERROR(VLOOKUP(B9,'QB Consolidated Contacts'!$A$1:$F$333,6),"-")</f>
        <v>Roger Santone</v>
      </c>
      <c r="D9" s="210"/>
      <c r="E9" s="275" t="s">
        <v>42</v>
      </c>
      <c r="F9" s="221" t="s">
        <v>66</v>
      </c>
      <c r="G9" s="221" t="s">
        <v>44</v>
      </c>
      <c r="H9" s="309"/>
      <c r="I9" s="133" t="s">
        <v>67</v>
      </c>
      <c r="J9" s="299"/>
      <c r="K9" s="276"/>
      <c r="L9" s="276"/>
      <c r="M9" s="275"/>
      <c r="N9" s="276"/>
      <c r="O9" s="272"/>
      <c r="P9" s="272"/>
      <c r="Q9" s="273"/>
      <c r="R9" s="273"/>
      <c r="S9" s="274"/>
      <c r="T9" s="57"/>
      <c r="U9" s="57"/>
      <c r="V9" s="279">
        <f>IFERROR(EDATE(T9,U9),"")</f>
        <v>0</v>
      </c>
      <c r="W9" s="57">
        <f ca="1">IFERROR(V9-TODAY(),"")</f>
        <v>-46093</v>
      </c>
      <c r="X9" s="57" t="str">
        <f ca="1">IF(SOWS[[#This Row],[Days to Contract End]]&lt;=90,"R",IF(AND(SOWS[[#This Row],[Days to Contract End]]&lt;180),"A","G"))</f>
        <v>R</v>
      </c>
      <c r="Y9" s="297"/>
      <c r="Z9" s="94"/>
      <c r="AA9" s="94"/>
      <c r="AK9" s="92" t="str">
        <f>IF(AGREEMENTS[[#This Row],[Days to Contract End]]&lt;=90,"R",IF(AND(AGREEMENTS[[#This Row],[Days to Contract End]]&lt;180),"A","G"))</f>
        <v>R</v>
      </c>
      <c r="AL9" s="235"/>
      <c r="AM9" s="326"/>
      <c r="AN9" s="52"/>
      <c r="AP9" s="52"/>
      <c r="AQ9" s="52"/>
    </row>
    <row r="10" spans="2:43">
      <c r="B10" s="155" t="s">
        <v>68</v>
      </c>
      <c r="C10" s="206"/>
      <c r="D10" s="272"/>
      <c r="E10" s="272" t="s">
        <v>42</v>
      </c>
      <c r="F10" s="221" t="s">
        <v>66</v>
      </c>
      <c r="G10" s="221" t="s">
        <v>44</v>
      </c>
      <c r="H10" s="315">
        <v>45660</v>
      </c>
      <c r="I10" s="293" t="s">
        <v>69</v>
      </c>
      <c r="J10" s="276" t="s">
        <v>39</v>
      </c>
      <c r="K10" s="276" t="s">
        <v>39</v>
      </c>
      <c r="L10" s="93">
        <v>45656</v>
      </c>
      <c r="M10" s="92">
        <v>36</v>
      </c>
      <c r="N10" s="93">
        <f>IFERROR(EDATE(L10,M10),"")</f>
        <v>46751</v>
      </c>
      <c r="O10" s="92">
        <f ca="1">IFERROR(N10-TODAY(),"")</f>
        <v>658</v>
      </c>
      <c r="P10" s="92"/>
      <c r="R10" s="52"/>
      <c r="S10" s="52"/>
      <c r="T10" s="52"/>
      <c r="U10" s="52"/>
      <c r="V10" s="52"/>
      <c r="W10" s="52"/>
      <c r="X10" s="94"/>
      <c r="Y10" s="94"/>
      <c r="Z10" s="94"/>
      <c r="AA10" s="94"/>
      <c r="AK10" s="92" t="str">
        <f ca="1">IF(AGREEMENTS[[#This Row],[Days to Contract End]]&lt;=90,"R",IF(AND(AGREEMENTS[[#This Row],[Days to Contract End]]&lt;180),"A","G"))</f>
        <v>G</v>
      </c>
      <c r="AL10" s="235"/>
      <c r="AM10" s="326"/>
      <c r="AN10" s="52"/>
      <c r="AP10" s="52"/>
      <c r="AQ10" s="52"/>
    </row>
    <row r="11" spans="2:43">
      <c r="B11" s="155" t="s">
        <v>68</v>
      </c>
      <c r="C11" s="91">
        <f>IFERROR(VLOOKUP(B11,'QB Consolidated Contacts'!$A$1:$F$333,6),"-")</f>
        <v>0</v>
      </c>
      <c r="E11" s="272" t="s">
        <v>51</v>
      </c>
      <c r="F11" s="221" t="s">
        <v>43</v>
      </c>
      <c r="G11" s="221" t="s">
        <v>44</v>
      </c>
      <c r="H11" s="289">
        <v>46021</v>
      </c>
      <c r="I11" s="266" t="s">
        <v>70</v>
      </c>
      <c r="J11" s="276" t="s">
        <v>39</v>
      </c>
      <c r="K11" s="276" t="s">
        <v>39</v>
      </c>
      <c r="L11" s="93">
        <v>45656</v>
      </c>
      <c r="M11" s="92" t="s">
        <v>46</v>
      </c>
      <c r="N11" s="93" t="str">
        <f>IFERROR(EDATE(L11,M11),"")</f>
        <v/>
      </c>
      <c r="O11" s="92" t="str">
        <f ca="1">IFERROR(N11-TODAY(),"")</f>
        <v/>
      </c>
      <c r="P11" s="92"/>
      <c r="R11" s="52"/>
      <c r="S11" s="52"/>
      <c r="T11" s="52"/>
      <c r="U11" s="52"/>
      <c r="V11" s="52"/>
      <c r="W11" s="52"/>
      <c r="X11" s="94"/>
      <c r="Y11" s="94"/>
      <c r="Z11" s="94"/>
      <c r="AA11" s="94"/>
      <c r="AK11" s="92" t="str">
        <f ca="1">IF(AGREEMENTS[[#This Row],[Days to Contract End]]&lt;=90,"R",IF(AND(AGREEMENTS[[#This Row],[Days to Contract End]]&lt;180),"A","G"))</f>
        <v>G</v>
      </c>
      <c r="AL11" s="235"/>
      <c r="AM11" s="326"/>
      <c r="AN11" s="52"/>
      <c r="AP11" s="52"/>
      <c r="AQ11" s="52"/>
    </row>
    <row r="12" spans="2:43">
      <c r="B12" s="155" t="s">
        <v>71</v>
      </c>
      <c r="C12" s="91">
        <f>IFERROR(VLOOKUP(B12,'QB Consolidated Contacts'!$A$1:$F$333,6),"-")</f>
        <v>0</v>
      </c>
      <c r="E12" s="275" t="s">
        <v>42</v>
      </c>
      <c r="F12" s="221" t="s">
        <v>43</v>
      </c>
      <c r="G12" s="221" t="s">
        <v>44</v>
      </c>
      <c r="H12" s="302">
        <v>45034</v>
      </c>
      <c r="I12" s="257" t="s">
        <v>72</v>
      </c>
      <c r="J12" s="276" t="s">
        <v>39</v>
      </c>
      <c r="K12" s="276"/>
      <c r="L12" s="93">
        <v>45016</v>
      </c>
      <c r="M12" s="92">
        <v>36</v>
      </c>
      <c r="N12" s="93">
        <f>IFERROR(EDATE(L12,M12),"")</f>
        <v>46112</v>
      </c>
      <c r="O12" s="92">
        <f ca="1">IFERROR(N12-TODAY(),"")</f>
        <v>19</v>
      </c>
      <c r="P12" s="92"/>
      <c r="R12" s="94"/>
      <c r="S12" s="52"/>
      <c r="T12" s="52"/>
      <c r="U12" s="52"/>
      <c r="V12" s="52"/>
      <c r="W12" s="52"/>
      <c r="X12" s="94"/>
      <c r="Y12" s="94"/>
      <c r="Z12" s="94"/>
      <c r="AA12" s="94"/>
      <c r="AK12" s="92" t="str">
        <f ca="1">IF(AGREEMENTS[[#This Row],[Days to Contract End]]&lt;=90,"R",IF(AND(AGREEMENTS[[#This Row],[Days to Contract End]]&lt;180),"A","G"))</f>
        <v>R</v>
      </c>
      <c r="AL12" s="235"/>
      <c r="AM12" s="326"/>
      <c r="AN12" s="52"/>
      <c r="AP12" s="52"/>
      <c r="AQ12" s="52"/>
    </row>
    <row r="13" spans="2:43">
      <c r="B13" s="155" t="s">
        <v>73</v>
      </c>
      <c r="C13" s="91">
        <f>IFERROR(VLOOKUP(B13,'QB Consolidated Contacts'!$A$1:$F$333,6),"-")</f>
        <v>0</v>
      </c>
      <c r="E13" s="275" t="s">
        <v>42</v>
      </c>
      <c r="F13" s="221" t="s">
        <v>66</v>
      </c>
      <c r="G13" s="221" t="s">
        <v>44</v>
      </c>
      <c r="H13" s="302">
        <v>44883</v>
      </c>
      <c r="I13" s="257" t="s">
        <v>74</v>
      </c>
      <c r="J13" s="276" t="s">
        <v>39</v>
      </c>
      <c r="K13" s="276"/>
      <c r="L13" s="93">
        <v>44883</v>
      </c>
      <c r="M13" s="92">
        <v>24</v>
      </c>
      <c r="N13" s="93">
        <f>IFERROR(EDATE(L13,M13),"")</f>
        <v>45614</v>
      </c>
      <c r="O13" s="92">
        <f ca="1">IFERROR(N13-TODAY(),"")</f>
        <v>-479</v>
      </c>
      <c r="P13" s="92" t="s">
        <v>40</v>
      </c>
      <c r="R13" s="94"/>
      <c r="S13" s="52"/>
      <c r="T13" s="52"/>
      <c r="U13" s="52"/>
      <c r="V13" s="52"/>
      <c r="W13" s="52"/>
      <c r="X13" s="94"/>
      <c r="Y13" s="94"/>
      <c r="Z13" s="94"/>
      <c r="AA13" s="94"/>
      <c r="AK13" s="92" t="str">
        <f ca="1">IF(AGREEMENTS[[#This Row],[Days to Contract End]]&lt;=90,"R",IF(AND(AGREEMENTS[[#This Row],[Days to Contract End]]&lt;180),"A","G"))</f>
        <v>R</v>
      </c>
      <c r="AL13" s="235"/>
      <c r="AM13" s="326"/>
      <c r="AN13" s="52"/>
      <c r="AP13" s="52"/>
      <c r="AQ13" s="52"/>
    </row>
    <row r="14" spans="2:43" ht="30">
      <c r="B14" s="155" t="s">
        <v>75</v>
      </c>
      <c r="C14" s="91">
        <f>IFERROR(VLOOKUP(B14,'QB Consolidated Contacts'!$A$1:$F$333,6),"-")</f>
        <v>0</v>
      </c>
      <c r="E14" s="275" t="s">
        <v>42</v>
      </c>
      <c r="F14" s="221" t="s">
        <v>43</v>
      </c>
      <c r="G14" s="221" t="s">
        <v>44</v>
      </c>
      <c r="H14" s="294"/>
      <c r="I14" s="258" t="s">
        <v>45</v>
      </c>
      <c r="J14" s="276" t="s">
        <v>40</v>
      </c>
      <c r="K14" s="276"/>
      <c r="L14" s="93"/>
      <c r="M14" s="92"/>
      <c r="N14" s="93">
        <f>IFERROR(EDATE(L14,M14),"")</f>
        <v>0</v>
      </c>
      <c r="O14" s="92">
        <f ca="1">IFERROR(N14-TODAY(),"")</f>
        <v>-46093</v>
      </c>
      <c r="P14" s="92" t="s">
        <v>39</v>
      </c>
      <c r="R14" s="94" t="s">
        <v>61</v>
      </c>
      <c r="S14" s="52" t="s">
        <v>61</v>
      </c>
      <c r="T14" s="52" t="s">
        <v>76</v>
      </c>
      <c r="U14" s="52" t="s">
        <v>47</v>
      </c>
      <c r="V14" s="52"/>
      <c r="W14" s="52"/>
      <c r="X14" s="94"/>
      <c r="Y14" s="94"/>
      <c r="Z14" s="94"/>
      <c r="AA14" s="94"/>
      <c r="AJ14" s="94" t="s">
        <v>47</v>
      </c>
      <c r="AK14" s="92" t="str">
        <f ca="1">IF(AGREEMENTS[[#This Row],[Days to Contract End]]&lt;=90,"R",IF(AND(AGREEMENTS[[#This Row],[Days to Contract End]]&lt;180),"A","G"))</f>
        <v>R</v>
      </c>
      <c r="AL14" s="235" t="s">
        <v>77</v>
      </c>
      <c r="AM14" s="326"/>
      <c r="AN14" s="52"/>
      <c r="AP14" s="52"/>
      <c r="AQ14" s="52"/>
    </row>
    <row r="15" spans="2:43">
      <c r="B15" s="155" t="s">
        <v>75</v>
      </c>
      <c r="C15" s="91">
        <f>IFERROR(VLOOKUP(B15,'QB Consolidated Contacts'!$A$1:$F$333,6),"-")</f>
        <v>0</v>
      </c>
      <c r="E15" s="275" t="s">
        <v>42</v>
      </c>
      <c r="F15" s="221" t="s">
        <v>66</v>
      </c>
      <c r="G15" s="221" t="s">
        <v>44</v>
      </c>
      <c r="H15" s="294"/>
      <c r="I15" s="258" t="s">
        <v>78</v>
      </c>
      <c r="J15" s="276" t="s">
        <v>40</v>
      </c>
      <c r="K15" s="276"/>
      <c r="L15" s="93"/>
      <c r="M15" s="92"/>
      <c r="N15" s="93">
        <f>IFERROR(EDATE(L15,M15),"")</f>
        <v>0</v>
      </c>
      <c r="O15" s="92">
        <f ca="1">IFERROR(N15-TODAY(),"")</f>
        <v>-46093</v>
      </c>
      <c r="P15" s="92"/>
      <c r="R15" s="94"/>
      <c r="S15" s="52"/>
      <c r="T15" s="52"/>
      <c r="U15" s="52"/>
      <c r="V15" s="52"/>
      <c r="W15" s="52"/>
      <c r="X15" s="94"/>
      <c r="Y15" s="94"/>
      <c r="Z15" s="94"/>
      <c r="AA15" s="94"/>
      <c r="AK15" s="92" t="str">
        <f ca="1">IF(AGREEMENTS[[#This Row],[Days to Contract End]]&lt;=90,"R",IF(AND(AGREEMENTS[[#This Row],[Days to Contract End]]&lt;180),"A","G"))</f>
        <v>R</v>
      </c>
      <c r="AL15" s="235"/>
      <c r="AM15" s="326"/>
      <c r="AN15" s="52"/>
      <c r="AP15" s="52"/>
      <c r="AQ15" s="52"/>
    </row>
    <row r="16" spans="2:43">
      <c r="B16" s="155" t="s">
        <v>79</v>
      </c>
      <c r="C16" s="91">
        <f>IFERROR(VLOOKUP(B16,'QB Consolidated Contacts'!$A$1:$F$333,6),"-")</f>
        <v>0</v>
      </c>
      <c r="E16" s="275" t="s">
        <v>51</v>
      </c>
      <c r="F16" s="221" t="s">
        <v>43</v>
      </c>
      <c r="G16" s="221" t="s">
        <v>44</v>
      </c>
      <c r="H16" s="303"/>
      <c r="I16" s="291" t="s">
        <v>80</v>
      </c>
      <c r="J16" s="276" t="s">
        <v>39</v>
      </c>
      <c r="K16" s="276" t="s">
        <v>40</v>
      </c>
      <c r="L16" s="93">
        <v>45469</v>
      </c>
      <c r="M16" s="92"/>
      <c r="N16" s="93">
        <f>IFERROR(EDATE(L16,M16),"")</f>
        <v>45469</v>
      </c>
      <c r="O16" s="92">
        <f ca="1">IFERROR(N16-TODAY(),"")</f>
        <v>-624</v>
      </c>
      <c r="P16" s="92" t="s">
        <v>48</v>
      </c>
      <c r="Q16" s="92" t="s">
        <v>81</v>
      </c>
      <c r="R16" s="52" t="s">
        <v>60</v>
      </c>
      <c r="S16" s="52"/>
      <c r="T16" s="52"/>
      <c r="U16" s="52" t="s">
        <v>47</v>
      </c>
      <c r="V16" s="52"/>
      <c r="W16" s="52"/>
      <c r="X16" s="94"/>
      <c r="Y16" s="94"/>
      <c r="Z16" s="94" t="s">
        <v>47</v>
      </c>
      <c r="AA16" s="94"/>
      <c r="AC16" s="94" t="s">
        <v>82</v>
      </c>
      <c r="AD16" s="94" t="s">
        <v>82</v>
      </c>
      <c r="AE16" s="94" t="s">
        <v>47</v>
      </c>
      <c r="AH16" s="94" t="s">
        <v>47</v>
      </c>
      <c r="AI16" s="94" t="s">
        <v>60</v>
      </c>
      <c r="AK16" s="92" t="str">
        <f ca="1">IF(AGREEMENTS[[#This Row],[Days to Contract End]]&lt;=90,"R",IF(AND(AGREEMENTS[[#This Row],[Days to Contract End]]&lt;180),"A","G"))</f>
        <v>R</v>
      </c>
      <c r="AL16" s="235"/>
      <c r="AM16" s="326"/>
      <c r="AN16" s="52"/>
      <c r="AP16" s="52"/>
      <c r="AQ16" s="52"/>
    </row>
    <row r="17" spans="2:43">
      <c r="B17" s="155" t="s">
        <v>83</v>
      </c>
      <c r="C17" s="91">
        <f>IFERROR(VLOOKUP(B17,'QB Consolidated Contacts'!$A$1:$F$333,6),"-")</f>
        <v>0</v>
      </c>
      <c r="E17" s="275" t="s">
        <v>42</v>
      </c>
      <c r="F17" s="221" t="s">
        <v>66</v>
      </c>
      <c r="G17" s="221" t="s">
        <v>44</v>
      </c>
      <c r="H17" s="294"/>
      <c r="I17" s="258" t="s">
        <v>84</v>
      </c>
      <c r="J17" s="276" t="s">
        <v>39</v>
      </c>
      <c r="K17" s="276"/>
      <c r="L17" s="93">
        <v>44897</v>
      </c>
      <c r="M17" s="92">
        <v>36</v>
      </c>
      <c r="N17" s="93">
        <f>IFERROR(EDATE(L17,M17),"")</f>
        <v>45993</v>
      </c>
      <c r="O17" s="92">
        <f ca="1">IFERROR(N17-TODAY(),"")</f>
        <v>-100</v>
      </c>
      <c r="P17" s="92"/>
      <c r="R17" s="52"/>
      <c r="S17" s="52"/>
      <c r="T17" s="52"/>
      <c r="U17" s="52"/>
      <c r="V17" s="52"/>
      <c r="W17" s="52"/>
      <c r="X17" s="94"/>
      <c r="Y17" s="94"/>
      <c r="Z17" s="94"/>
      <c r="AA17" s="94"/>
      <c r="AK17" s="92" t="str">
        <f ca="1">IF(AGREEMENTS[[#This Row],[Days to Contract End]]&lt;=90,"R",IF(AND(AGREEMENTS[[#This Row],[Days to Contract End]]&lt;180),"A","G"))</f>
        <v>R</v>
      </c>
      <c r="AL17" s="235"/>
      <c r="AM17" s="326"/>
      <c r="AN17" s="52"/>
      <c r="AP17" s="52"/>
      <c r="AQ17" s="52"/>
    </row>
    <row r="18" spans="2:43">
      <c r="B18" s="155" t="s">
        <v>85</v>
      </c>
      <c r="C18" s="91">
        <f>IFERROR(VLOOKUP(B18,'QB Consolidated Contacts'!$A$1:$F$333,6),"-")</f>
        <v>0</v>
      </c>
      <c r="E18" s="275" t="s">
        <v>42</v>
      </c>
      <c r="F18" s="221" t="s">
        <v>66</v>
      </c>
      <c r="G18" s="221" t="s">
        <v>44</v>
      </c>
      <c r="H18" s="304"/>
      <c r="I18" s="292" t="s">
        <v>78</v>
      </c>
      <c r="J18" s="276" t="s">
        <v>39</v>
      </c>
      <c r="K18" s="276"/>
      <c r="L18" s="93">
        <v>44887</v>
      </c>
      <c r="M18" s="92">
        <v>36</v>
      </c>
      <c r="N18" s="93">
        <f>IFERROR(EDATE(L18,M18),"")</f>
        <v>45983</v>
      </c>
      <c r="O18" s="92">
        <f ca="1">IFERROR(N18-TODAY(),"")</f>
        <v>-110</v>
      </c>
      <c r="P18" s="92" t="s">
        <v>39</v>
      </c>
      <c r="R18" s="52" t="s">
        <v>60</v>
      </c>
      <c r="S18" s="52" t="s">
        <v>47</v>
      </c>
      <c r="T18" s="52" t="s">
        <v>86</v>
      </c>
      <c r="U18" s="52"/>
      <c r="V18" s="52"/>
      <c r="W18" s="52"/>
      <c r="X18" s="94"/>
      <c r="Y18" s="94"/>
      <c r="Z18" s="94"/>
      <c r="AA18" s="94"/>
      <c r="AC18" s="94" t="s">
        <v>47</v>
      </c>
      <c r="AD18" s="94" t="s">
        <v>47</v>
      </c>
      <c r="AF18" s="94" t="s">
        <v>87</v>
      </c>
      <c r="AG18" s="94" t="s">
        <v>88</v>
      </c>
      <c r="AH18" s="94" t="s">
        <v>47</v>
      </c>
      <c r="AK18" s="92" t="str">
        <f ca="1">IF(AGREEMENTS[[#This Row],[Days to Contract End]]&lt;=90,"R",IF(AND(AGREEMENTS[[#This Row],[Days to Contract End]]&lt;180),"A","G"))</f>
        <v>R</v>
      </c>
      <c r="AL18" s="235"/>
      <c r="AM18" s="326"/>
      <c r="AN18" s="52"/>
      <c r="AP18" s="52"/>
      <c r="AQ18" s="52"/>
    </row>
    <row r="19" spans="2:43">
      <c r="B19" s="155" t="s">
        <v>85</v>
      </c>
      <c r="C19" s="91">
        <f>IFERROR(VLOOKUP(B19,'QB Consolidated Contacts'!$A$1:$F$333,6),"-")</f>
        <v>0</v>
      </c>
      <c r="E19" s="275"/>
      <c r="F19" s="221" t="s">
        <v>43</v>
      </c>
      <c r="G19" s="221" t="s">
        <v>44</v>
      </c>
      <c r="H19" s="294"/>
      <c r="I19" s="258" t="s">
        <v>45</v>
      </c>
      <c r="J19" s="276" t="s">
        <v>40</v>
      </c>
      <c r="K19" s="276"/>
      <c r="L19" s="93">
        <v>26</v>
      </c>
      <c r="M19" s="92"/>
      <c r="N19" s="93">
        <f>IFERROR(EDATE(L19,M19),"")</f>
        <v>26</v>
      </c>
      <c r="O19" s="92">
        <f ca="1">IFERROR(N19-TODAY(),"")</f>
        <v>-46067</v>
      </c>
      <c r="P19" s="92"/>
      <c r="R19" s="52"/>
      <c r="S19" s="52"/>
      <c r="T19" s="52"/>
      <c r="U19" s="52"/>
      <c r="V19" s="52"/>
      <c r="W19" s="52"/>
      <c r="X19" s="94"/>
      <c r="Y19" s="94"/>
      <c r="Z19" s="94"/>
      <c r="AA19" s="94"/>
      <c r="AK19" s="92" t="str">
        <f ca="1">IF(AGREEMENTS[[#This Row],[Days to Contract End]]&lt;=90,"R",IF(AND(AGREEMENTS[[#This Row],[Days to Contract End]]&lt;180),"A","G"))</f>
        <v>R</v>
      </c>
      <c r="AL19" s="235"/>
      <c r="AM19" s="326"/>
      <c r="AN19" s="52"/>
      <c r="AP19" s="52"/>
      <c r="AQ19" s="52"/>
    </row>
    <row r="20" spans="2:43">
      <c r="B20" s="155" t="s">
        <v>89</v>
      </c>
      <c r="C20" s="91">
        <f>IFERROR(VLOOKUP(B20,'QB Consolidated Contacts'!$A$1:$F$333,6),"-")</f>
        <v>0</v>
      </c>
      <c r="E20" s="275" t="s">
        <v>42</v>
      </c>
      <c r="F20" s="221" t="s">
        <v>43</v>
      </c>
      <c r="G20" s="221" t="s">
        <v>44</v>
      </c>
      <c r="H20" s="294"/>
      <c r="I20" s="258" t="s">
        <v>45</v>
      </c>
      <c r="J20" s="276" t="s">
        <v>39</v>
      </c>
      <c r="K20" s="276"/>
      <c r="L20" s="93">
        <v>44102</v>
      </c>
      <c r="M20" s="92" t="s">
        <v>46</v>
      </c>
      <c r="N20" s="93" t="str">
        <f>IFERROR(EDATE(L20,M20),"")</f>
        <v/>
      </c>
      <c r="O20" s="92" t="str">
        <f ca="1">IFERROR(N20-TODAY(),"")</f>
        <v/>
      </c>
      <c r="P20" s="92" t="s">
        <v>39</v>
      </c>
      <c r="R20" s="52"/>
      <c r="S20" s="52" t="s">
        <v>82</v>
      </c>
      <c r="T20" s="52"/>
      <c r="U20" s="52"/>
      <c r="V20" s="52"/>
      <c r="W20" s="52"/>
      <c r="X20" s="94"/>
      <c r="Y20" s="94"/>
      <c r="Z20" s="94"/>
      <c r="AA20" s="94"/>
      <c r="AJ20" s="94" t="s">
        <v>49</v>
      </c>
      <c r="AK20" s="92" t="str">
        <f ca="1">IF(AGREEMENTS[[#This Row],[Days to Contract End]]&lt;=90,"R",IF(AND(AGREEMENTS[[#This Row],[Days to Contract End]]&lt;180),"A","G"))</f>
        <v>G</v>
      </c>
      <c r="AL20" s="235"/>
      <c r="AM20" s="326"/>
      <c r="AN20" s="52"/>
      <c r="AP20" s="52"/>
      <c r="AQ20" s="52"/>
    </row>
    <row r="21" spans="2:43" ht="30">
      <c r="B21" s="155" t="s">
        <v>90</v>
      </c>
      <c r="C21" s="91">
        <f>IFERROR(VLOOKUP(B21,'QB Consolidated Contacts'!$A$1:$F$333,6),"-")</f>
        <v>0</v>
      </c>
      <c r="E21" s="272" t="s">
        <v>42</v>
      </c>
      <c r="F21" s="221" t="s">
        <v>43</v>
      </c>
      <c r="G21" s="221" t="s">
        <v>44</v>
      </c>
      <c r="H21" s="308"/>
      <c r="I21" s="237" t="s">
        <v>91</v>
      </c>
      <c r="J21" s="276" t="s">
        <v>39</v>
      </c>
      <c r="K21" s="276" t="s">
        <v>39</v>
      </c>
      <c r="L21" s="93">
        <v>45491</v>
      </c>
      <c r="M21" s="92">
        <v>12</v>
      </c>
      <c r="N21" s="93">
        <f>IFERROR(EDATE(L21,M21),"")-10</f>
        <v>45846</v>
      </c>
      <c r="O21" s="92">
        <f ca="1">IFERROR(N21-TODAY(),"")</f>
        <v>-247</v>
      </c>
      <c r="P21" s="92"/>
      <c r="R21" s="52"/>
      <c r="S21" s="52"/>
      <c r="T21" s="52"/>
      <c r="U21" s="52"/>
      <c r="V21" s="52"/>
      <c r="W21" s="52"/>
      <c r="X21" s="94"/>
      <c r="Y21" s="94"/>
      <c r="Z21" s="94"/>
      <c r="AA21" s="94"/>
      <c r="AK21" s="92" t="str">
        <f ca="1">IF(AGREEMENTS[[#This Row],[Days to Contract End]]&lt;=90,"R",IF(AND(AGREEMENTS[[#This Row],[Days to Contract End]]&lt;180),"A","G"))</f>
        <v>R</v>
      </c>
      <c r="AL21" s="235"/>
      <c r="AM21" s="326"/>
      <c r="AN21" s="52"/>
      <c r="AP21" s="52"/>
      <c r="AQ21" s="52"/>
    </row>
    <row r="22" spans="2:43">
      <c r="B22" s="155" t="s">
        <v>92</v>
      </c>
      <c r="C22" s="91">
        <f>IFERROR(VLOOKUP(B22,'QB Consolidated Contacts'!$A$1:$F$333,6),"-")</f>
        <v>0</v>
      </c>
      <c r="E22" s="272" t="s">
        <v>42</v>
      </c>
      <c r="F22" s="221" t="s">
        <v>66</v>
      </c>
      <c r="G22" s="221" t="s">
        <v>44</v>
      </c>
      <c r="H22" s="305"/>
      <c r="I22" s="293" t="s">
        <v>93</v>
      </c>
      <c r="J22" s="276" t="s">
        <v>39</v>
      </c>
      <c r="K22" s="276" t="s">
        <v>39</v>
      </c>
      <c r="L22" s="93"/>
      <c r="M22" s="92"/>
      <c r="N22" s="93">
        <f>IFERROR(EDATE(L22,M22),"")</f>
        <v>0</v>
      </c>
      <c r="O22" s="92">
        <f ca="1">IFERROR(N22-TODAY(),"")</f>
        <v>-46093</v>
      </c>
      <c r="P22" s="92"/>
      <c r="R22" s="52"/>
      <c r="S22" s="52"/>
      <c r="T22" s="52"/>
      <c r="U22" s="52"/>
      <c r="V22" s="52"/>
      <c r="W22" s="52"/>
      <c r="X22" s="94"/>
      <c r="Y22" s="94"/>
      <c r="Z22" s="94"/>
      <c r="AA22" s="94"/>
      <c r="AK22" s="92" t="str">
        <f ca="1">IF(AGREEMENTS[[#This Row],[Days to Contract End]]&lt;=90,"R",IF(AND(AGREEMENTS[[#This Row],[Days to Contract End]]&lt;180),"A","G"))</f>
        <v>R</v>
      </c>
      <c r="AL22" s="235"/>
      <c r="AM22" s="326"/>
      <c r="AN22" s="52"/>
      <c r="AP22" s="52"/>
      <c r="AQ22" s="52"/>
    </row>
    <row r="23" spans="2:43" ht="30">
      <c r="B23" s="155" t="s">
        <v>94</v>
      </c>
      <c r="C23" s="91">
        <f>IFERROR(VLOOKUP(B23,'QB Consolidated Contacts'!$A$1:$F$333,6),"-")</f>
        <v>0</v>
      </c>
      <c r="E23" s="275" t="s">
        <v>51</v>
      </c>
      <c r="F23" s="221" t="s">
        <v>43</v>
      </c>
      <c r="G23" s="221" t="s">
        <v>44</v>
      </c>
      <c r="H23" s="294"/>
      <c r="I23" s="257" t="s">
        <v>45</v>
      </c>
      <c r="J23" s="276" t="s">
        <v>39</v>
      </c>
      <c r="K23" s="276"/>
      <c r="L23" s="93">
        <v>44869</v>
      </c>
      <c r="M23" s="92">
        <v>24</v>
      </c>
      <c r="N23" s="93">
        <f>IFERROR(EDATE(L23,M23),"")</f>
        <v>45600</v>
      </c>
      <c r="O23" s="92">
        <f ca="1">IFERROR(N23-TODAY(),"")</f>
        <v>-493</v>
      </c>
      <c r="P23" s="92"/>
      <c r="R23" s="52"/>
      <c r="S23" s="52"/>
      <c r="T23" s="52"/>
      <c r="U23" s="52"/>
      <c r="V23" s="52"/>
      <c r="W23" s="52"/>
      <c r="X23" s="94"/>
      <c r="Y23" s="94"/>
      <c r="Z23" s="94"/>
      <c r="AA23" s="94"/>
      <c r="AK23" s="92" t="str">
        <f ca="1">IF(AGREEMENTS[[#This Row],[Days to Contract End]]&lt;=90,"R",IF(AND(AGREEMENTS[[#This Row],[Days to Contract End]]&lt;180),"A","G"))</f>
        <v>R</v>
      </c>
      <c r="AL23" s="235" t="s">
        <v>95</v>
      </c>
      <c r="AM23" s="326"/>
      <c r="AN23" s="52"/>
      <c r="AP23" s="52"/>
      <c r="AQ23" s="52"/>
    </row>
    <row r="24" spans="2:43">
      <c r="B24" s="155" t="s">
        <v>94</v>
      </c>
      <c r="C24" s="91">
        <f>IFERROR(VLOOKUP(B24,'QB Consolidated Contacts'!$A$1:$F$333,6),"-")</f>
        <v>0</v>
      </c>
      <c r="E24" s="275" t="s">
        <v>51</v>
      </c>
      <c r="F24" s="221" t="s">
        <v>66</v>
      </c>
      <c r="G24" s="221" t="s">
        <v>44</v>
      </c>
      <c r="H24" s="294"/>
      <c r="I24" s="257" t="s">
        <v>78</v>
      </c>
      <c r="J24" s="276" t="s">
        <v>39</v>
      </c>
      <c r="K24" s="276"/>
      <c r="L24" s="93">
        <v>44778</v>
      </c>
      <c r="M24" s="92">
        <f>5*12</f>
        <v>60</v>
      </c>
      <c r="N24" s="93">
        <f>IFERROR(EDATE(L24,M24),"")</f>
        <v>46604</v>
      </c>
      <c r="O24" s="92">
        <f ca="1">IFERROR(N24-TODAY(),"")</f>
        <v>511</v>
      </c>
      <c r="P24" s="92"/>
      <c r="R24" s="52"/>
      <c r="S24" s="52"/>
      <c r="T24" s="52"/>
      <c r="U24" s="52"/>
      <c r="V24" s="52"/>
      <c r="W24" s="52"/>
      <c r="X24" s="94"/>
      <c r="Y24" s="94"/>
      <c r="Z24" s="94"/>
      <c r="AA24" s="94"/>
      <c r="AK24" s="92" t="str">
        <f ca="1">IF(AGREEMENTS[[#This Row],[Days to Contract End]]&lt;=90,"R",IF(AND(AGREEMENTS[[#This Row],[Days to Contract End]]&lt;180),"A","G"))</f>
        <v>G</v>
      </c>
      <c r="AL24" s="235"/>
      <c r="AM24" s="326"/>
      <c r="AN24" s="52"/>
      <c r="AP24" s="52"/>
      <c r="AQ24" s="52"/>
    </row>
    <row r="25" spans="2:43">
      <c r="B25" s="155" t="s">
        <v>96</v>
      </c>
      <c r="C25" s="91">
        <f>IFERROR(VLOOKUP(B25,'QB Consolidated Contacts'!$A$1:$F$333,6),"-")</f>
        <v>0</v>
      </c>
      <c r="E25" s="275" t="s">
        <v>42</v>
      </c>
      <c r="F25" s="221" t="s">
        <v>43</v>
      </c>
      <c r="G25" s="221" t="s">
        <v>44</v>
      </c>
      <c r="H25" s="294"/>
      <c r="I25" s="258" t="s">
        <v>45</v>
      </c>
      <c r="J25" s="276" t="s">
        <v>39</v>
      </c>
      <c r="K25" s="276"/>
      <c r="L25" s="93">
        <v>43089</v>
      </c>
      <c r="M25" s="92" t="s">
        <v>46</v>
      </c>
      <c r="N25" s="93" t="str">
        <f>IFERROR(EDATE(L25,M25),"")</f>
        <v/>
      </c>
      <c r="O25" s="92" t="str">
        <f ca="1">IFERROR(N25-TODAY(),"")</f>
        <v/>
      </c>
      <c r="P25" s="92" t="s">
        <v>39</v>
      </c>
      <c r="R25" s="52" t="s">
        <v>47</v>
      </c>
      <c r="S25" s="52" t="s">
        <v>47</v>
      </c>
      <c r="T25" s="52"/>
      <c r="U25" s="52"/>
      <c r="V25" s="52" t="s">
        <v>48</v>
      </c>
      <c r="W25" s="52"/>
      <c r="X25" s="94" t="s">
        <v>48</v>
      </c>
      <c r="Y25" s="94" t="s">
        <v>48</v>
      </c>
      <c r="Z25" s="94"/>
      <c r="AA25" s="94"/>
      <c r="AJ25" s="94" t="s">
        <v>49</v>
      </c>
      <c r="AK25" s="92" t="str">
        <f ca="1">IF(AGREEMENTS[[#This Row],[Days to Contract End]]&lt;=90,"R",IF(AND(AGREEMENTS[[#This Row],[Days to Contract End]]&lt;180),"A","G"))</f>
        <v>G</v>
      </c>
      <c r="AL25" s="235"/>
      <c r="AM25" s="326"/>
      <c r="AN25" s="52"/>
      <c r="AP25" s="52"/>
      <c r="AQ25" s="52"/>
    </row>
    <row r="26" spans="2:43" ht="30">
      <c r="B26" s="155" t="s">
        <v>97</v>
      </c>
      <c r="C26" s="91">
        <f>IFERROR(VLOOKUP(B26,'QB Consolidated Contacts'!$A$1:$F$333,6),"-")</f>
        <v>0</v>
      </c>
      <c r="E26" s="275"/>
      <c r="F26" s="221" t="s">
        <v>43</v>
      </c>
      <c r="G26" s="221" t="s">
        <v>44</v>
      </c>
      <c r="H26" s="294"/>
      <c r="I26" s="257" t="s">
        <v>98</v>
      </c>
      <c r="J26" s="276"/>
      <c r="K26" s="276"/>
      <c r="L26" s="93"/>
      <c r="M26" s="92"/>
      <c r="N26" s="93">
        <f>IFERROR(EDATE(L26,M26),"")</f>
        <v>0</v>
      </c>
      <c r="O26" s="92">
        <f ca="1">IFERROR(N26-TODAY(),"")</f>
        <v>-46093</v>
      </c>
      <c r="P26" s="92"/>
      <c r="R26" s="52"/>
      <c r="S26" s="52"/>
      <c r="T26" s="52"/>
      <c r="U26" s="52"/>
      <c r="V26" s="52"/>
      <c r="W26" s="52"/>
      <c r="X26" s="94"/>
      <c r="Y26" s="94"/>
      <c r="Z26" s="94"/>
      <c r="AA26" s="94"/>
      <c r="AK26" s="92" t="str">
        <f ca="1">IF(AGREEMENTS[[#This Row],[Days to Contract End]]&lt;=90,"R",IF(AND(AGREEMENTS[[#This Row],[Days to Contract End]]&lt;180),"A","G"))</f>
        <v>R</v>
      </c>
      <c r="AL26" s="235"/>
      <c r="AM26" s="326"/>
      <c r="AN26" s="52"/>
      <c r="AP26" s="52"/>
      <c r="AQ26" s="52"/>
    </row>
    <row r="27" spans="2:43">
      <c r="B27" s="155" t="s">
        <v>99</v>
      </c>
      <c r="C27" s="91">
        <f>IFERROR(VLOOKUP(B27,'QB Consolidated Contacts'!$A$1:$F$333,6),"-")</f>
        <v>0</v>
      </c>
      <c r="E27" s="275" t="s">
        <v>42</v>
      </c>
      <c r="F27" s="221" t="s">
        <v>43</v>
      </c>
      <c r="G27" s="221" t="s">
        <v>44</v>
      </c>
      <c r="H27" s="294"/>
      <c r="I27" s="258" t="s">
        <v>45</v>
      </c>
      <c r="J27" s="276" t="s">
        <v>39</v>
      </c>
      <c r="K27" s="276"/>
      <c r="L27" s="93">
        <v>44258</v>
      </c>
      <c r="M27" s="92" t="s">
        <v>46</v>
      </c>
      <c r="N27" s="93" t="str">
        <f>IFERROR(EDATE(L27,M27),"")</f>
        <v/>
      </c>
      <c r="O27" s="92" t="str">
        <f ca="1">IFERROR(N27-TODAY(),"")</f>
        <v/>
      </c>
      <c r="P27" s="92" t="s">
        <v>39</v>
      </c>
      <c r="R27" s="52" t="s">
        <v>60</v>
      </c>
      <c r="S27" s="52" t="s">
        <v>47</v>
      </c>
      <c r="T27" s="52" t="s">
        <v>47</v>
      </c>
      <c r="U27" s="52"/>
      <c r="V27" s="52" t="s">
        <v>61</v>
      </c>
      <c r="W27" s="52" t="s">
        <v>47</v>
      </c>
      <c r="X27" s="94"/>
      <c r="Y27" s="94"/>
      <c r="Z27" s="94" t="s">
        <v>61</v>
      </c>
      <c r="AA27" s="94" t="s">
        <v>47</v>
      </c>
      <c r="AB27" s="94" t="s">
        <v>47</v>
      </c>
      <c r="AJ27" s="94" t="s">
        <v>47</v>
      </c>
      <c r="AK27" s="92" t="str">
        <f ca="1">IF(AGREEMENTS[[#This Row],[Days to Contract End]]&lt;=90,"R",IF(AND(AGREEMENTS[[#This Row],[Days to Contract End]]&lt;180),"A","G"))</f>
        <v>G</v>
      </c>
      <c r="AL27" s="235"/>
      <c r="AM27" s="326"/>
      <c r="AN27" s="52"/>
      <c r="AP27" s="52"/>
      <c r="AQ27" s="52"/>
    </row>
    <row r="28" spans="2:43" ht="30">
      <c r="B28" s="155" t="s">
        <v>99</v>
      </c>
      <c r="C28" s="91">
        <f>IFERROR(VLOOKUP(B28,'QB Consolidated Contacts'!$A$1:$F$333,6),"-")</f>
        <v>0</v>
      </c>
      <c r="E28" s="275" t="s">
        <v>42</v>
      </c>
      <c r="F28" s="221" t="s">
        <v>66</v>
      </c>
      <c r="G28" s="221" t="s">
        <v>44</v>
      </c>
      <c r="H28" s="294"/>
      <c r="I28" s="258" t="s">
        <v>78</v>
      </c>
      <c r="J28" s="276" t="s">
        <v>39</v>
      </c>
      <c r="K28" s="276"/>
      <c r="L28" s="93">
        <v>44270</v>
      </c>
      <c r="M28" s="92" t="s">
        <v>46</v>
      </c>
      <c r="N28" s="93" t="str">
        <f>IFERROR(EDATE(L28,M28),"")</f>
        <v/>
      </c>
      <c r="O28" s="92" t="str">
        <f ca="1">IFERROR(N28-TODAY(),"")</f>
        <v/>
      </c>
      <c r="P28" s="92" t="s">
        <v>40</v>
      </c>
      <c r="R28" s="52"/>
      <c r="S28" s="52"/>
      <c r="T28" s="52"/>
      <c r="U28" s="52"/>
      <c r="V28" s="52"/>
      <c r="W28" s="52"/>
      <c r="X28" s="94"/>
      <c r="Y28" s="94"/>
      <c r="Z28" s="94"/>
      <c r="AA28" s="94"/>
      <c r="AK28" s="92" t="str">
        <f ca="1">IF(AGREEMENTS[[#This Row],[Days to Contract End]]&lt;=90,"R",IF(AND(AGREEMENTS[[#This Row],[Days to Contract End]]&lt;180),"A","G"))</f>
        <v>G</v>
      </c>
      <c r="AL28" s="235" t="s">
        <v>100</v>
      </c>
      <c r="AM28" s="326"/>
      <c r="AN28" s="52"/>
      <c r="AP28" s="52"/>
      <c r="AQ28" s="52"/>
    </row>
    <row r="29" spans="2:43">
      <c r="B29" s="155" t="s">
        <v>101</v>
      </c>
      <c r="C29" s="91">
        <f>IFERROR(VLOOKUP(B29,'QB Consolidated Contacts'!$A$1:$F$333,6),"-")</f>
        <v>0</v>
      </c>
      <c r="E29" s="275"/>
      <c r="F29" s="221"/>
      <c r="G29" s="221"/>
      <c r="H29" s="294"/>
      <c r="I29" s="259"/>
      <c r="J29" s="276"/>
      <c r="K29" s="276"/>
      <c r="L29" s="93"/>
      <c r="M29" s="92"/>
      <c r="N29" s="93">
        <f>IFERROR(EDATE(L29,M29),"")</f>
        <v>0</v>
      </c>
      <c r="O29" s="92">
        <f ca="1">IFERROR(N29-TODAY(),"")</f>
        <v>-46093</v>
      </c>
      <c r="P29" s="92"/>
      <c r="R29" s="52"/>
      <c r="S29" s="52"/>
      <c r="T29" s="52"/>
      <c r="U29" s="52"/>
      <c r="V29" s="52"/>
      <c r="W29" s="52"/>
      <c r="X29" s="94"/>
      <c r="Y29" s="94"/>
      <c r="Z29" s="94"/>
      <c r="AA29" s="94"/>
      <c r="AK29" s="92" t="str">
        <f ca="1">IF(AGREEMENTS[[#This Row],[Days to Contract End]]&lt;=90,"R",IF(AND(AGREEMENTS[[#This Row],[Days to Contract End]]&lt;180),"A","G"))</f>
        <v>R</v>
      </c>
      <c r="AL29" s="235"/>
      <c r="AM29" s="326"/>
      <c r="AN29" s="52"/>
      <c r="AP29" s="52"/>
      <c r="AQ29" s="52"/>
    </row>
    <row r="30" spans="2:43" ht="45">
      <c r="B30" s="155" t="s">
        <v>102</v>
      </c>
      <c r="C30" s="91">
        <f>IFERROR(VLOOKUP(B30,'QB Consolidated Contacts'!$A$1:$F$333,6),"-")</f>
        <v>0</v>
      </c>
      <c r="E30" s="275" t="s">
        <v>42</v>
      </c>
      <c r="F30" s="221" t="s">
        <v>103</v>
      </c>
      <c r="G30" s="221" t="s">
        <v>44</v>
      </c>
      <c r="H30" s="294"/>
      <c r="I30" s="258" t="s">
        <v>104</v>
      </c>
      <c r="J30" s="276" t="s">
        <v>39</v>
      </c>
      <c r="K30" s="276"/>
      <c r="L30" s="93">
        <v>44779</v>
      </c>
      <c r="M30" s="92" t="s">
        <v>46</v>
      </c>
      <c r="N30" s="93" t="str">
        <f>IFERROR(EDATE(L30,M30),"")</f>
        <v/>
      </c>
      <c r="O30" s="92" t="str">
        <f ca="1">IFERROR(N30-TODAY(),"")</f>
        <v/>
      </c>
      <c r="P30" s="92"/>
      <c r="R30" s="52"/>
      <c r="S30" s="52"/>
      <c r="T30" s="52"/>
      <c r="U30" s="52"/>
      <c r="V30" s="52"/>
      <c r="W30" s="52"/>
      <c r="X30" s="94"/>
      <c r="Y30" s="94"/>
      <c r="Z30" s="94"/>
      <c r="AA30" s="94"/>
      <c r="AK30" s="92" t="str">
        <f ca="1">IF(AGREEMENTS[[#This Row],[Days to Contract End]]&lt;=90,"R",IF(AND(AGREEMENTS[[#This Row],[Days to Contract End]]&lt;180),"A","G"))</f>
        <v>G</v>
      </c>
      <c r="AL30" s="235"/>
      <c r="AM30" s="326"/>
      <c r="AN30" s="52"/>
      <c r="AP30" s="52"/>
      <c r="AQ30" s="52"/>
    </row>
    <row r="31" spans="2:43">
      <c r="B31" s="155" t="s">
        <v>105</v>
      </c>
      <c r="C31" s="91">
        <f>IFERROR(VLOOKUP(B31,'QB Consolidated Contacts'!$A$1:$F$333,6),"-")</f>
        <v>0</v>
      </c>
      <c r="E31" s="272" t="s">
        <v>42</v>
      </c>
      <c r="F31" s="221" t="s">
        <v>43</v>
      </c>
      <c r="G31" s="221" t="s">
        <v>44</v>
      </c>
      <c r="H31" s="305"/>
      <c r="I31" s="293" t="s">
        <v>106</v>
      </c>
      <c r="J31" s="276" t="s">
        <v>39</v>
      </c>
      <c r="K31" s="276" t="s">
        <v>39</v>
      </c>
      <c r="L31" s="93">
        <v>45491</v>
      </c>
      <c r="M31" s="92" t="s">
        <v>46</v>
      </c>
      <c r="N31" s="93" t="str">
        <f>IFERROR(EDATE(L31,M31),"")</f>
        <v/>
      </c>
      <c r="O31" s="92" t="str">
        <f ca="1">IFERROR(N31-TODAY(),"")</f>
        <v/>
      </c>
      <c r="P31" s="92"/>
      <c r="R31" s="52"/>
      <c r="S31" s="52"/>
      <c r="T31" s="52"/>
      <c r="U31" s="52"/>
      <c r="V31" s="52"/>
      <c r="W31" s="52"/>
      <c r="X31" s="94"/>
      <c r="Y31" s="94"/>
      <c r="Z31" s="94"/>
      <c r="AA31" s="94"/>
      <c r="AK31" s="92" t="str">
        <f ca="1">IF(AGREEMENTS[[#This Row],[Days to Contract End]]&lt;=90,"R",IF(AND(AGREEMENTS[[#This Row],[Days to Contract End]]&lt;180),"A","G"))</f>
        <v>G</v>
      </c>
      <c r="AL31" s="235"/>
      <c r="AM31" s="326"/>
      <c r="AN31" s="52"/>
      <c r="AP31" s="52"/>
      <c r="AQ31" s="52"/>
    </row>
    <row r="32" spans="2:43">
      <c r="B32" s="155" t="s">
        <v>107</v>
      </c>
      <c r="C32" s="91">
        <f>IFERROR(VLOOKUP(B32,'QB Consolidated Contacts'!$A$1:$F$333,6),"-")</f>
        <v>0</v>
      </c>
      <c r="E32" s="275" t="s">
        <v>51</v>
      </c>
      <c r="F32" s="221" t="s">
        <v>43</v>
      </c>
      <c r="G32" s="221" t="s">
        <v>108</v>
      </c>
      <c r="H32" s="294"/>
      <c r="I32" s="259"/>
      <c r="J32" s="276" t="s">
        <v>40</v>
      </c>
      <c r="K32" s="276"/>
      <c r="L32" s="93"/>
      <c r="M32" s="92"/>
      <c r="N32" s="93">
        <f>IFERROR(EDATE(L32,M32),"")</f>
        <v>0</v>
      </c>
      <c r="O32" s="92">
        <f ca="1">IFERROR(N32-TODAY(),"")</f>
        <v>-46093</v>
      </c>
      <c r="P32" s="92"/>
      <c r="R32" s="52"/>
      <c r="S32" s="52"/>
      <c r="T32" s="52"/>
      <c r="U32" s="52"/>
      <c r="V32" s="52"/>
      <c r="W32" s="52"/>
      <c r="X32" s="94"/>
      <c r="Y32" s="94"/>
      <c r="Z32" s="94"/>
      <c r="AA32" s="94"/>
      <c r="AK32" s="92" t="str">
        <f ca="1">IF(AGREEMENTS[[#This Row],[Days to Contract End]]&lt;=90,"R",IF(AND(AGREEMENTS[[#This Row],[Days to Contract End]]&lt;180),"A","G"))</f>
        <v>R</v>
      </c>
      <c r="AL32" s="235"/>
      <c r="AM32" s="326"/>
      <c r="AN32" s="52"/>
      <c r="AP32" s="52"/>
      <c r="AQ32" s="52"/>
    </row>
    <row r="33" spans="2:43">
      <c r="B33" s="155" t="s">
        <v>109</v>
      </c>
      <c r="C33" s="91">
        <f>IFERROR(VLOOKUP(B33,'QB Consolidated Contacts'!$A$1:$F$333,6),"-")</f>
        <v>0</v>
      </c>
      <c r="E33" s="275" t="s">
        <v>51</v>
      </c>
      <c r="F33" s="221" t="s">
        <v>43</v>
      </c>
      <c r="G33" s="221" t="s">
        <v>44</v>
      </c>
      <c r="H33" s="294"/>
      <c r="I33" s="258" t="s">
        <v>45</v>
      </c>
      <c r="J33" s="276" t="s">
        <v>39</v>
      </c>
      <c r="K33" s="276"/>
      <c r="L33" s="93">
        <v>44232</v>
      </c>
      <c r="M33" s="92" t="s">
        <v>46</v>
      </c>
      <c r="N33" s="93" t="str">
        <f>IFERROR(EDATE(L33,M33),"")</f>
        <v/>
      </c>
      <c r="O33" s="92" t="str">
        <f ca="1">IFERROR(N33-TODAY(),"")</f>
        <v/>
      </c>
      <c r="P33" s="92" t="s">
        <v>39</v>
      </c>
      <c r="R33" s="52"/>
      <c r="S33" s="52" t="s">
        <v>47</v>
      </c>
      <c r="T33" s="52"/>
      <c r="U33" s="52"/>
      <c r="V33" s="52"/>
      <c r="W33" s="52"/>
      <c r="X33" s="94"/>
      <c r="Y33" s="94"/>
      <c r="Z33" s="94"/>
      <c r="AA33" s="94"/>
      <c r="AJ33" s="94" t="s">
        <v>49</v>
      </c>
      <c r="AK33" s="92" t="str">
        <f ca="1">IF(AGREEMENTS[[#This Row],[Days to Contract End]]&lt;=90,"R",IF(AND(AGREEMENTS[[#This Row],[Days to Contract End]]&lt;180),"A","G"))</f>
        <v>G</v>
      </c>
      <c r="AL33" s="235"/>
      <c r="AM33" s="326"/>
      <c r="AN33" s="52"/>
      <c r="AP33" s="52"/>
      <c r="AQ33" s="52"/>
    </row>
    <row r="34" spans="2:43">
      <c r="B34" s="155" t="s">
        <v>110</v>
      </c>
      <c r="C34" s="91">
        <f>IFERROR(VLOOKUP(B34,'QB Consolidated Contacts'!$A$1:$F$333,6),"-")</f>
        <v>0</v>
      </c>
      <c r="E34" s="275" t="s">
        <v>42</v>
      </c>
      <c r="F34" s="221" t="s">
        <v>66</v>
      </c>
      <c r="G34" s="221" t="s">
        <v>44</v>
      </c>
      <c r="H34" s="294"/>
      <c r="I34" s="258" t="s">
        <v>78</v>
      </c>
      <c r="J34" s="276" t="s">
        <v>39</v>
      </c>
      <c r="K34" s="276" t="s">
        <v>40</v>
      </c>
      <c r="L34" s="93">
        <v>45061</v>
      </c>
      <c r="M34" s="92">
        <v>24</v>
      </c>
      <c r="N34" s="93">
        <f>IFERROR(EDATE(L34,M34),"")</f>
        <v>45792</v>
      </c>
      <c r="O34" s="92">
        <f ca="1">IFERROR(N34-TODAY(),"")</f>
        <v>-301</v>
      </c>
      <c r="P34" s="92"/>
      <c r="R34" s="52"/>
      <c r="S34" s="52"/>
      <c r="T34" s="52"/>
      <c r="U34" s="52"/>
      <c r="V34" s="52"/>
      <c r="W34" s="52"/>
      <c r="X34" s="94"/>
      <c r="Y34" s="94"/>
      <c r="Z34" s="94"/>
      <c r="AA34" s="94"/>
      <c r="AK34" s="92" t="str">
        <f ca="1">IF(AGREEMENTS[[#This Row],[Days to Contract End]]&lt;=90,"R",IF(AND(AGREEMENTS[[#This Row],[Days to Contract End]]&lt;180),"A","G"))</f>
        <v>R</v>
      </c>
      <c r="AL34" s="235"/>
      <c r="AM34" s="326"/>
      <c r="AN34" s="52"/>
      <c r="AP34" s="52"/>
      <c r="AQ34" s="52"/>
    </row>
    <row r="35" spans="2:43">
      <c r="B35" s="155" t="s">
        <v>111</v>
      </c>
      <c r="C35" s="91">
        <f>IFERROR(VLOOKUP(B35,'QB Consolidated Contacts'!$A$1:$F$333,6),"-")</f>
        <v>0</v>
      </c>
      <c r="E35" s="275" t="s">
        <v>42</v>
      </c>
      <c r="F35" s="221" t="s">
        <v>43</v>
      </c>
      <c r="G35" s="221" t="s">
        <v>44</v>
      </c>
      <c r="H35" s="294"/>
      <c r="I35" s="258" t="s">
        <v>45</v>
      </c>
      <c r="J35" s="276" t="s">
        <v>39</v>
      </c>
      <c r="K35" s="276" t="s">
        <v>39</v>
      </c>
      <c r="L35" s="93">
        <v>43243</v>
      </c>
      <c r="M35" s="92" t="s">
        <v>46</v>
      </c>
      <c r="N35" s="93" t="str">
        <f>IFERROR(EDATE(L35,M35),"")</f>
        <v/>
      </c>
      <c r="O35" s="92" t="str">
        <f ca="1">IFERROR(N35-TODAY(),"")</f>
        <v/>
      </c>
      <c r="P35" s="92"/>
      <c r="R35" s="52"/>
      <c r="S35" s="52"/>
      <c r="T35" s="52"/>
      <c r="U35" s="52"/>
      <c r="V35" s="52"/>
      <c r="W35" s="52"/>
      <c r="X35" s="94"/>
      <c r="Y35" s="94"/>
      <c r="Z35" s="94"/>
      <c r="AA35" s="94"/>
      <c r="AK35" s="92" t="str">
        <f ca="1">IF(AGREEMENTS[[#This Row],[Days to Contract End]]&lt;=90,"R",IF(AND(AGREEMENTS[[#This Row],[Days to Contract End]]&lt;180),"A","G"))</f>
        <v>G</v>
      </c>
      <c r="AL35" s="235"/>
      <c r="AM35" s="326"/>
      <c r="AN35" s="52"/>
      <c r="AP35" s="52"/>
      <c r="AQ35" s="52"/>
    </row>
    <row r="36" spans="2:43" ht="45">
      <c r="B36" s="155" t="s">
        <v>112</v>
      </c>
      <c r="C36" s="91">
        <f>IFERROR(VLOOKUP(B36,'QB Consolidated Contacts'!$A$1:$F$333,6),"-")</f>
        <v>0</v>
      </c>
      <c r="D36" s="206" t="s">
        <v>113</v>
      </c>
      <c r="E36" s="275" t="s">
        <v>51</v>
      </c>
      <c r="F36" s="221" t="s">
        <v>114</v>
      </c>
      <c r="G36" s="221" t="s">
        <v>44</v>
      </c>
      <c r="H36" s="294"/>
      <c r="I36" s="257" t="s">
        <v>115</v>
      </c>
      <c r="J36" s="276" t="s">
        <v>39</v>
      </c>
      <c r="K36" s="276" t="s">
        <v>39</v>
      </c>
      <c r="L36" s="93">
        <v>45315</v>
      </c>
      <c r="M36" s="92" t="s">
        <v>46</v>
      </c>
      <c r="N36" s="93" t="str">
        <f>IFERROR(EDATE(L36,M36),"")</f>
        <v/>
      </c>
      <c r="O36" s="92" t="str">
        <f ca="1">IFERROR(N36-TODAY(),"")</f>
        <v/>
      </c>
      <c r="P36" s="92"/>
      <c r="R36" s="52"/>
      <c r="S36" s="52" t="s">
        <v>47</v>
      </c>
      <c r="T36" s="52"/>
      <c r="U36" s="52"/>
      <c r="V36" s="52"/>
      <c r="W36" s="52"/>
      <c r="X36" s="94"/>
      <c r="Y36" s="94"/>
      <c r="Z36" s="94"/>
      <c r="AA36" s="94"/>
      <c r="AJ36" s="94" t="s">
        <v>116</v>
      </c>
      <c r="AK36" s="92" t="str">
        <f ca="1">IF(AGREEMENTS[[#This Row],[Days to Contract End]]&lt;=90,"R",IF(AND(AGREEMENTS[[#This Row],[Days to Contract End]]&lt;180),"A","G"))</f>
        <v>G</v>
      </c>
      <c r="AL36" s="235"/>
      <c r="AM36" s="326"/>
      <c r="AN36" s="52"/>
      <c r="AP36" s="52"/>
      <c r="AQ36" s="52"/>
    </row>
    <row r="37" spans="2:43" ht="45">
      <c r="B37" s="155" t="s">
        <v>112</v>
      </c>
      <c r="C37" s="91">
        <f>IFERROR(VLOOKUP(B37,'QB Consolidated Contacts'!$A$1:$F$333,6),"-")</f>
        <v>0</v>
      </c>
      <c r="D37" s="206" t="s">
        <v>113</v>
      </c>
      <c r="E37" s="275" t="s">
        <v>51</v>
      </c>
      <c r="F37" s="221" t="s">
        <v>66</v>
      </c>
      <c r="G37" s="221" t="s">
        <v>44</v>
      </c>
      <c r="H37" s="294"/>
      <c r="I37" s="257" t="s">
        <v>117</v>
      </c>
      <c r="J37" s="276" t="s">
        <v>39</v>
      </c>
      <c r="K37" s="276" t="s">
        <v>39</v>
      </c>
      <c r="L37" s="93">
        <v>45324</v>
      </c>
      <c r="M37" s="92">
        <v>24</v>
      </c>
      <c r="N37" s="93">
        <f>IFERROR(EDATE(L37,M37),"")</f>
        <v>46055</v>
      </c>
      <c r="O37" s="92">
        <f ca="1">IFERROR(N37-TODAY(),"")</f>
        <v>-38</v>
      </c>
      <c r="P37" s="92"/>
      <c r="R37" s="52"/>
      <c r="S37" s="52"/>
      <c r="T37" s="52"/>
      <c r="U37" s="52"/>
      <c r="V37" s="52"/>
      <c r="W37" s="52"/>
      <c r="X37" s="94"/>
      <c r="Y37" s="94"/>
      <c r="Z37" s="94"/>
      <c r="AA37" s="94"/>
      <c r="AK37" s="92" t="str">
        <f ca="1">IF(AGREEMENTS[[#This Row],[Days to Contract End]]&lt;=90,"R",IF(AND(AGREEMENTS[[#This Row],[Days to Contract End]]&lt;180),"A","G"))</f>
        <v>R</v>
      </c>
      <c r="AL37" s="235"/>
      <c r="AM37" s="325"/>
      <c r="AN37" s="72"/>
      <c r="AO37" s="51"/>
      <c r="AP37" s="52"/>
      <c r="AQ37" s="52"/>
    </row>
    <row r="38" spans="2:43" ht="45">
      <c r="B38" s="155" t="s">
        <v>118</v>
      </c>
      <c r="C38" s="91">
        <f>IFERROR(VLOOKUP(B38,'QB Consolidated Contacts'!$A$1:$F$333,6),"-")</f>
        <v>0</v>
      </c>
      <c r="D38" s="206" t="s">
        <v>113</v>
      </c>
      <c r="E38" s="275" t="s">
        <v>51</v>
      </c>
      <c r="F38" s="221" t="s">
        <v>43</v>
      </c>
      <c r="G38" s="221" t="s">
        <v>44</v>
      </c>
      <c r="H38" s="294"/>
      <c r="I38" s="258" t="s">
        <v>45</v>
      </c>
      <c r="J38" s="276" t="s">
        <v>39</v>
      </c>
      <c r="K38" s="276"/>
      <c r="L38" s="93">
        <v>44732</v>
      </c>
      <c r="M38" s="92" t="s">
        <v>46</v>
      </c>
      <c r="N38" s="93" t="str">
        <f>IFERROR(EDATE(L38,M38),"")</f>
        <v/>
      </c>
      <c r="O38" s="92" t="str">
        <f ca="1">IFERROR(N38-TODAY(),"")</f>
        <v/>
      </c>
      <c r="P38" s="92" t="s">
        <v>39</v>
      </c>
      <c r="R38" s="52"/>
      <c r="S38" s="52" t="s">
        <v>47</v>
      </c>
      <c r="T38" s="52"/>
      <c r="U38" s="52"/>
      <c r="V38" s="52"/>
      <c r="W38" s="52"/>
      <c r="X38" s="94"/>
      <c r="Y38" s="94"/>
      <c r="Z38" s="94"/>
      <c r="AA38" s="94"/>
      <c r="AJ38" s="94" t="s">
        <v>49</v>
      </c>
      <c r="AK38" s="92" t="str">
        <f ca="1">IF(AGREEMENTS[[#This Row],[Days to Contract End]]&lt;=90,"R",IF(AND(AGREEMENTS[[#This Row],[Days to Contract End]]&lt;180),"A","G"))</f>
        <v>G</v>
      </c>
      <c r="AL38" s="235"/>
      <c r="AM38" s="326"/>
      <c r="AN38" s="52"/>
      <c r="AP38" s="52"/>
      <c r="AQ38" s="52"/>
    </row>
    <row r="39" spans="2:43" ht="45">
      <c r="B39" s="155" t="s">
        <v>118</v>
      </c>
      <c r="C39" s="91">
        <f>IFERROR(VLOOKUP(B39,'QB Consolidated Contacts'!$A$1:$F$333,6),"-")</f>
        <v>0</v>
      </c>
      <c r="D39" s="206" t="s">
        <v>113</v>
      </c>
      <c r="E39" s="275" t="s">
        <v>51</v>
      </c>
      <c r="F39" s="221" t="s">
        <v>66</v>
      </c>
      <c r="G39" s="221" t="s">
        <v>44</v>
      </c>
      <c r="H39" s="294"/>
      <c r="I39" s="258" t="s">
        <v>78</v>
      </c>
      <c r="J39" s="276" t="s">
        <v>39</v>
      </c>
      <c r="K39" s="276"/>
      <c r="L39" s="93">
        <v>44749</v>
      </c>
      <c r="M39" s="92">
        <v>24</v>
      </c>
      <c r="N39" s="93">
        <f>IFERROR(EDATE(L39,M39),"")</f>
        <v>45480</v>
      </c>
      <c r="O39" s="92">
        <f ca="1">IFERROR(N39-TODAY(),"")</f>
        <v>-613</v>
      </c>
      <c r="P39" s="92"/>
      <c r="R39" s="52"/>
      <c r="S39" s="52"/>
      <c r="T39" s="52"/>
      <c r="U39" s="52"/>
      <c r="V39" s="52"/>
      <c r="W39" s="52"/>
      <c r="X39" s="94"/>
      <c r="Y39" s="94"/>
      <c r="Z39" s="94"/>
      <c r="AA39" s="94"/>
      <c r="AK39" s="92" t="str">
        <f ca="1">IF(AGREEMENTS[[#This Row],[Days to Contract End]]&lt;=90,"R",IF(AND(AGREEMENTS[[#This Row],[Days to Contract End]]&lt;180),"A","G"))</f>
        <v>R</v>
      </c>
      <c r="AL39" s="235"/>
      <c r="AM39" s="326"/>
      <c r="AN39" s="52"/>
      <c r="AP39" s="52"/>
      <c r="AQ39" s="52"/>
    </row>
    <row r="40" spans="2:43">
      <c r="B40" s="155" t="s">
        <v>119</v>
      </c>
      <c r="C40" s="91">
        <f>IFERROR(VLOOKUP(B40,'QB Consolidated Contacts'!$A$1:$F$333,6),"-")</f>
        <v>0</v>
      </c>
      <c r="E40" s="275" t="s">
        <v>42</v>
      </c>
      <c r="F40" s="221" t="s">
        <v>43</v>
      </c>
      <c r="G40" s="221" t="s">
        <v>44</v>
      </c>
      <c r="H40" s="294"/>
      <c r="I40" s="257" t="s">
        <v>45</v>
      </c>
      <c r="J40" s="276" t="s">
        <v>39</v>
      </c>
      <c r="K40" s="276" t="s">
        <v>39</v>
      </c>
      <c r="L40" s="93">
        <v>45016</v>
      </c>
      <c r="M40" s="92" t="s">
        <v>46</v>
      </c>
      <c r="N40" s="93" t="str">
        <f>IFERROR(EDATE(L40,M40),"")</f>
        <v/>
      </c>
      <c r="O40" s="92" t="str">
        <f ca="1">IFERROR(N40-TODAY(),"")</f>
        <v/>
      </c>
      <c r="P40" s="92"/>
      <c r="R40" s="52"/>
      <c r="S40" s="52"/>
      <c r="T40" s="52"/>
      <c r="U40" s="52"/>
      <c r="V40" s="52"/>
      <c r="W40" s="52"/>
      <c r="X40" s="94"/>
      <c r="Y40" s="94"/>
      <c r="Z40" s="94"/>
      <c r="AA40" s="94"/>
      <c r="AK40" s="92" t="str">
        <f ca="1">IF(AGREEMENTS[[#This Row],[Days to Contract End]]&lt;=90,"R",IF(AND(AGREEMENTS[[#This Row],[Days to Contract End]]&lt;180),"A","G"))</f>
        <v>G</v>
      </c>
      <c r="AL40" s="235"/>
      <c r="AM40" s="326"/>
      <c r="AN40" s="52"/>
      <c r="AP40" s="52"/>
      <c r="AQ40" s="52"/>
    </row>
    <row r="41" spans="2:43" ht="75">
      <c r="B41" s="155" t="s">
        <v>120</v>
      </c>
      <c r="C41" s="91">
        <f>IFERROR(VLOOKUP(B41,'QB Consolidated Contacts'!$A$1:$F$333,6),"-")</f>
        <v>0</v>
      </c>
      <c r="E41" s="275" t="s">
        <v>42</v>
      </c>
      <c r="F41" s="221" t="s">
        <v>43</v>
      </c>
      <c r="G41" s="221" t="s">
        <v>44</v>
      </c>
      <c r="H41" s="294"/>
      <c r="I41" s="258" t="s">
        <v>121</v>
      </c>
      <c r="J41" s="276" t="s">
        <v>39</v>
      </c>
      <c r="K41" s="276"/>
      <c r="L41" s="93">
        <v>43269</v>
      </c>
      <c r="M41" s="92" t="s">
        <v>46</v>
      </c>
      <c r="N41" s="93" t="str">
        <f>IFERROR(EDATE(L41,M41),"")</f>
        <v/>
      </c>
      <c r="O41" s="92" t="str">
        <f ca="1">IFERROR(N41-TODAY(),"")</f>
        <v/>
      </c>
      <c r="P41" s="92"/>
      <c r="R41" s="52"/>
      <c r="S41" s="52"/>
      <c r="T41" s="52"/>
      <c r="U41" s="52"/>
      <c r="V41" s="52"/>
      <c r="W41" s="52"/>
      <c r="X41" s="94"/>
      <c r="Y41" s="94"/>
      <c r="Z41" s="94"/>
      <c r="AA41" s="94"/>
      <c r="AK41" s="92" t="str">
        <f ca="1">IF(AGREEMENTS[[#This Row],[Days to Contract End]]&lt;=90,"R",IF(AND(AGREEMENTS[[#This Row],[Days to Contract End]]&lt;180),"A","G"))</f>
        <v>G</v>
      </c>
      <c r="AL41" s="236" t="s">
        <v>122</v>
      </c>
      <c r="AM41" s="326"/>
      <c r="AN41" s="52"/>
      <c r="AP41" s="52"/>
      <c r="AQ41" s="52"/>
    </row>
    <row r="42" spans="2:43">
      <c r="B42" s="155" t="s">
        <v>123</v>
      </c>
      <c r="C42" s="91">
        <f>IFERROR(VLOOKUP(B42,'QB Consolidated Contacts'!$A$1:$F$333,6),"-")</f>
        <v>0</v>
      </c>
      <c r="E42" s="275" t="s">
        <v>42</v>
      </c>
      <c r="F42" s="221" t="s">
        <v>124</v>
      </c>
      <c r="G42" s="221" t="s">
        <v>44</v>
      </c>
      <c r="H42" s="294"/>
      <c r="I42" s="258" t="s">
        <v>125</v>
      </c>
      <c r="J42" s="276" t="s">
        <v>39</v>
      </c>
      <c r="K42" s="276"/>
      <c r="L42" s="93">
        <v>44301</v>
      </c>
      <c r="M42" s="92">
        <v>12</v>
      </c>
      <c r="N42" s="93">
        <f>IFERROR(EDATE(L42,M42),"")</f>
        <v>44666</v>
      </c>
      <c r="O42" s="92">
        <f ca="1">IFERROR(N42-TODAY(),"")</f>
        <v>-1427</v>
      </c>
      <c r="P42" s="92"/>
      <c r="R42" s="52"/>
      <c r="S42" s="52"/>
      <c r="T42" s="52"/>
      <c r="U42" s="52"/>
      <c r="V42" s="52"/>
      <c r="W42" s="52"/>
      <c r="X42" s="94"/>
      <c r="Y42" s="94"/>
      <c r="Z42" s="94"/>
      <c r="AA42" s="94"/>
      <c r="AK42" s="92" t="str">
        <f ca="1">IF(AGREEMENTS[[#This Row],[Days to Contract End]]&lt;=90,"R",IF(AND(AGREEMENTS[[#This Row],[Days to Contract End]]&lt;180),"A","G"))</f>
        <v>R</v>
      </c>
      <c r="AL42" s="235"/>
      <c r="AM42" s="326"/>
      <c r="AN42" s="52"/>
      <c r="AP42" s="52"/>
      <c r="AQ42" s="52"/>
    </row>
    <row r="43" spans="2:43">
      <c r="B43" s="155" t="s">
        <v>126</v>
      </c>
      <c r="C43" s="91">
        <f>IFERROR(VLOOKUP(B43,'QB Consolidated Contacts'!$A$1:$F$333,6),"-")</f>
        <v>0</v>
      </c>
      <c r="E43" s="275" t="s">
        <v>42</v>
      </c>
      <c r="F43" s="221" t="s">
        <v>43</v>
      </c>
      <c r="G43" s="221" t="s">
        <v>44</v>
      </c>
      <c r="H43" s="294"/>
      <c r="I43" s="257" t="s">
        <v>45</v>
      </c>
      <c r="J43" s="276" t="s">
        <v>39</v>
      </c>
      <c r="K43" s="276" t="s">
        <v>40</v>
      </c>
      <c r="L43" s="93">
        <v>43301</v>
      </c>
      <c r="M43" s="92" t="s">
        <v>46</v>
      </c>
      <c r="N43" s="93" t="str">
        <f>IFERROR(EDATE(L43,M43),"")</f>
        <v/>
      </c>
      <c r="O43" s="92" t="str">
        <f ca="1">IFERROR(N43-TODAY(),"")</f>
        <v/>
      </c>
      <c r="P43" s="92"/>
      <c r="R43" s="52"/>
      <c r="S43" s="52"/>
      <c r="T43" s="52"/>
      <c r="U43" s="52"/>
      <c r="V43" s="52"/>
      <c r="W43" s="52"/>
      <c r="X43" s="94"/>
      <c r="Y43" s="94"/>
      <c r="Z43" s="94"/>
      <c r="AA43" s="94"/>
      <c r="AK43" s="92" t="str">
        <f ca="1">IF(AGREEMENTS[[#This Row],[Days to Contract End]]&lt;=90,"R",IF(AND(AGREEMENTS[[#This Row],[Days to Contract End]]&lt;180),"A","G"))</f>
        <v>G</v>
      </c>
      <c r="AL43" s="235"/>
      <c r="AM43" s="326"/>
      <c r="AN43" s="52"/>
      <c r="AP43" s="52"/>
      <c r="AQ43" s="52"/>
    </row>
    <row r="44" spans="2:43">
      <c r="B44" s="155" t="s">
        <v>127</v>
      </c>
      <c r="C44" s="91">
        <f>IFERROR(VLOOKUP(B44,'QB Consolidated Contacts'!$A$1:$F$333,6),"-")</f>
        <v>0</v>
      </c>
      <c r="E44" s="275"/>
      <c r="F44" s="221" t="s">
        <v>66</v>
      </c>
      <c r="G44" s="221" t="s">
        <v>44</v>
      </c>
      <c r="H44" s="305"/>
      <c r="I44" s="293" t="s">
        <v>128</v>
      </c>
      <c r="J44" s="276" t="s">
        <v>39</v>
      </c>
      <c r="K44" s="276"/>
      <c r="L44" s="93">
        <v>44299</v>
      </c>
      <c r="M44" s="92">
        <v>36</v>
      </c>
      <c r="N44" s="93">
        <f>IFERROR(EDATE(L44,M44),"")</f>
        <v>45395</v>
      </c>
      <c r="O44" s="92">
        <f ca="1">IFERROR(N44-TODAY(),"")</f>
        <v>-698</v>
      </c>
      <c r="P44" s="92"/>
      <c r="R44" s="52"/>
      <c r="S44" s="52"/>
      <c r="T44" s="52"/>
      <c r="U44" s="52"/>
      <c r="V44" s="52"/>
      <c r="W44" s="52"/>
      <c r="X44" s="94"/>
      <c r="Y44" s="94"/>
      <c r="Z44" s="94"/>
      <c r="AA44" s="94"/>
      <c r="AK44" s="92" t="str">
        <f ca="1">IF(AGREEMENTS[[#This Row],[Days to Contract End]]&lt;=90,"R",IF(AND(AGREEMENTS[[#This Row],[Days to Contract End]]&lt;180),"A","G"))</f>
        <v>R</v>
      </c>
      <c r="AL44" s="235"/>
      <c r="AM44" s="325"/>
      <c r="AN44" s="72"/>
      <c r="AO44" s="51"/>
      <c r="AP44" s="52"/>
      <c r="AQ44" s="52"/>
    </row>
    <row r="45" spans="2:43" ht="45">
      <c r="B45" s="155" t="s">
        <v>127</v>
      </c>
      <c r="C45" s="91">
        <f>IFERROR(VLOOKUP(B45,'QB Consolidated Contacts'!$A$1:$F$333,6),"-")</f>
        <v>0</v>
      </c>
      <c r="E45" s="275" t="s">
        <v>51</v>
      </c>
      <c r="F45" s="221" t="s">
        <v>43</v>
      </c>
      <c r="G45" s="221" t="s">
        <v>44</v>
      </c>
      <c r="H45" s="305"/>
      <c r="I45" s="293" t="s">
        <v>129</v>
      </c>
      <c r="J45" s="276" t="s">
        <v>39</v>
      </c>
      <c r="K45" s="276"/>
      <c r="L45" s="93">
        <v>44326</v>
      </c>
      <c r="M45" s="92">
        <v>12</v>
      </c>
      <c r="N45" s="93">
        <f>IFERROR(EDATE(L45,M45),"")</f>
        <v>44691</v>
      </c>
      <c r="O45" s="92">
        <f ca="1">IFERROR(N45-TODAY(),"")</f>
        <v>-1402</v>
      </c>
      <c r="P45" s="92"/>
      <c r="R45" s="52"/>
      <c r="S45" s="52"/>
      <c r="T45" s="52"/>
      <c r="U45" s="52"/>
      <c r="V45" s="52"/>
      <c r="W45" s="52"/>
      <c r="X45" s="94"/>
      <c r="Y45" s="94"/>
      <c r="Z45" s="94"/>
      <c r="AA45" s="94"/>
      <c r="AK45" s="92" t="str">
        <f ca="1">IF(AGREEMENTS[[#This Row],[Days to Contract End]]&lt;=90,"R",IF(AND(AGREEMENTS[[#This Row],[Days to Contract End]]&lt;180),"A","G"))</f>
        <v>R</v>
      </c>
      <c r="AL45" s="235" t="s">
        <v>130</v>
      </c>
      <c r="AM45" s="326"/>
      <c r="AN45" s="52"/>
      <c r="AP45" s="52"/>
      <c r="AQ45" s="52"/>
    </row>
    <row r="46" spans="2:43" ht="45">
      <c r="B46" s="155" t="s">
        <v>131</v>
      </c>
      <c r="C46" s="91">
        <f>IFERROR(VLOOKUP(B46,'QB Consolidated Contacts'!$A$1:$F$333,6),"-")</f>
        <v>0</v>
      </c>
      <c r="D46" s="206" t="s">
        <v>132</v>
      </c>
      <c r="E46" s="275" t="s">
        <v>42</v>
      </c>
      <c r="F46" s="221" t="s">
        <v>133</v>
      </c>
      <c r="G46" s="221" t="s">
        <v>44</v>
      </c>
      <c r="H46" s="294"/>
      <c r="I46" s="259" t="s">
        <v>134</v>
      </c>
      <c r="J46" s="276" t="s">
        <v>39</v>
      </c>
      <c r="K46" s="276" t="s">
        <v>39</v>
      </c>
      <c r="L46" s="93">
        <v>45113</v>
      </c>
      <c r="M46" s="92"/>
      <c r="N46" s="93">
        <f>IFERROR(EDATE(L46,M46),"")</f>
        <v>45113</v>
      </c>
      <c r="O46" s="92">
        <f ca="1">IFERROR(N46-TODAY(),"")</f>
        <v>-980</v>
      </c>
      <c r="P46" s="92"/>
      <c r="R46" s="52"/>
      <c r="S46" s="52"/>
      <c r="T46" s="52"/>
      <c r="U46" s="52"/>
      <c r="V46" s="52"/>
      <c r="W46" s="52"/>
      <c r="X46" s="94"/>
      <c r="Y46" s="94"/>
      <c r="Z46" s="94"/>
      <c r="AA46" s="94"/>
      <c r="AK46" s="92" t="str">
        <f ca="1">IF(AGREEMENTS[[#This Row],[Days to Contract End]]&lt;=90,"R",IF(AND(AGREEMENTS[[#This Row],[Days to Contract End]]&lt;180),"A","G"))</f>
        <v>R</v>
      </c>
      <c r="AL46" s="235"/>
      <c r="AM46" s="326"/>
      <c r="AN46" s="52"/>
      <c r="AP46" s="52"/>
      <c r="AQ46" s="52"/>
    </row>
    <row r="47" spans="2:43">
      <c r="B47" s="155" t="s">
        <v>135</v>
      </c>
      <c r="C47" s="91">
        <f>IFERROR(VLOOKUP(B47,'QB Consolidated Contacts'!$A$1:$F$333,6),"-")</f>
        <v>0</v>
      </c>
      <c r="E47" s="272" t="s">
        <v>42</v>
      </c>
      <c r="F47" s="221" t="s">
        <v>66</v>
      </c>
      <c r="G47" s="221" t="s">
        <v>44</v>
      </c>
      <c r="H47" s="305"/>
      <c r="I47" s="293" t="s">
        <v>136</v>
      </c>
      <c r="J47" s="276"/>
      <c r="K47" s="276"/>
      <c r="L47" s="93"/>
      <c r="M47" s="92"/>
      <c r="N47" s="93">
        <f>IFERROR(EDATE(L47,M47),"")</f>
        <v>0</v>
      </c>
      <c r="O47" s="92">
        <f ca="1">IFERROR(N47-TODAY(),"")</f>
        <v>-46093</v>
      </c>
      <c r="P47" s="92"/>
      <c r="R47" s="52"/>
      <c r="S47" s="52"/>
      <c r="T47" s="52"/>
      <c r="U47" s="52"/>
      <c r="V47" s="52"/>
      <c r="W47" s="52"/>
      <c r="X47" s="94"/>
      <c r="Y47" s="94"/>
      <c r="Z47" s="94"/>
      <c r="AA47" s="94"/>
      <c r="AK47" s="92" t="str">
        <f ca="1">IF(AGREEMENTS[[#This Row],[Days to Contract End]]&lt;=90,"R",IF(AND(AGREEMENTS[[#This Row],[Days to Contract End]]&lt;180),"A","G"))</f>
        <v>R</v>
      </c>
      <c r="AL47" s="235"/>
      <c r="AM47" s="326"/>
      <c r="AN47" s="52"/>
      <c r="AP47" s="52"/>
      <c r="AQ47" s="52"/>
    </row>
    <row r="48" spans="2:43">
      <c r="B48" s="155" t="s">
        <v>137</v>
      </c>
      <c r="C48" s="91">
        <f>IFERROR(VLOOKUP(B48,'QB Consolidated Contacts'!$A$1:$F$333,6),"-")</f>
        <v>0</v>
      </c>
      <c r="E48" s="275" t="s">
        <v>42</v>
      </c>
      <c r="F48" s="221" t="s">
        <v>66</v>
      </c>
      <c r="G48" s="221" t="s">
        <v>44</v>
      </c>
      <c r="H48" s="294"/>
      <c r="I48" s="258" t="s">
        <v>78</v>
      </c>
      <c r="J48" s="276" t="s">
        <v>40</v>
      </c>
      <c r="K48" s="276"/>
      <c r="L48" s="93"/>
      <c r="M48" s="92"/>
      <c r="N48" s="93">
        <f>IFERROR(EDATE(L48,M48),"")</f>
        <v>0</v>
      </c>
      <c r="O48" s="92">
        <f ca="1">IFERROR(N48-TODAY(),"")</f>
        <v>-46093</v>
      </c>
      <c r="P48" s="92"/>
      <c r="R48" s="52"/>
      <c r="S48" s="52"/>
      <c r="T48" s="52"/>
      <c r="U48" s="52"/>
      <c r="V48" s="52"/>
      <c r="W48" s="52"/>
      <c r="X48" s="94"/>
      <c r="Y48" s="94"/>
      <c r="Z48" s="94"/>
      <c r="AA48" s="94"/>
      <c r="AK48" s="92" t="str">
        <f ca="1">IF(AGREEMENTS[[#This Row],[Days to Contract End]]&lt;=90,"R",IF(AND(AGREEMENTS[[#This Row],[Days to Contract End]]&lt;180),"A","G"))</f>
        <v>R</v>
      </c>
      <c r="AL48" s="235"/>
      <c r="AM48" s="326"/>
      <c r="AN48" s="52"/>
      <c r="AP48" s="52"/>
      <c r="AQ48" s="52"/>
    </row>
    <row r="49" spans="2:43">
      <c r="B49" s="155" t="s">
        <v>138</v>
      </c>
      <c r="C49" s="91">
        <f>IFERROR(VLOOKUP(B49,'QB Consolidated Contacts'!$A$1:$F$333,6),"-")</f>
        <v>0</v>
      </c>
      <c r="E49" s="275"/>
      <c r="F49" s="221"/>
      <c r="G49" s="221" t="s">
        <v>108</v>
      </c>
      <c r="H49" s="294"/>
      <c r="I49" s="259" t="s">
        <v>139</v>
      </c>
      <c r="J49" s="276" t="s">
        <v>40</v>
      </c>
      <c r="K49" s="276"/>
      <c r="L49" s="93"/>
      <c r="M49" s="92"/>
      <c r="N49" s="93">
        <f>IFERROR(EDATE(L49,M49),"")</f>
        <v>0</v>
      </c>
      <c r="O49" s="92">
        <f ca="1">IFERROR(N49-TODAY(),"")</f>
        <v>-46093</v>
      </c>
      <c r="P49" s="92"/>
      <c r="R49" s="52" t="s">
        <v>48</v>
      </c>
      <c r="S49" s="52" t="s">
        <v>48</v>
      </c>
      <c r="T49" s="52"/>
      <c r="U49" s="52"/>
      <c r="V49" s="52" t="s">
        <v>48</v>
      </c>
      <c r="W49" s="52"/>
      <c r="X49" s="94" t="s">
        <v>48</v>
      </c>
      <c r="Y49" s="94" t="s">
        <v>48</v>
      </c>
      <c r="Z49" s="94"/>
      <c r="AA49" s="94"/>
      <c r="AJ49" s="94" t="s">
        <v>48</v>
      </c>
      <c r="AK49" s="92" t="str">
        <f ca="1">IF(AGREEMENTS[[#This Row],[Days to Contract End]]&lt;=90,"R",IF(AND(AGREEMENTS[[#This Row],[Days to Contract End]]&lt;180),"A","G"))</f>
        <v>R</v>
      </c>
      <c r="AL49" s="235"/>
      <c r="AM49" s="326"/>
      <c r="AN49" s="52"/>
      <c r="AP49" s="52"/>
      <c r="AQ49" s="52"/>
    </row>
    <row r="50" spans="2:43" ht="30">
      <c r="B50" s="155" t="s">
        <v>140</v>
      </c>
      <c r="C50" s="91">
        <f>IFERROR(VLOOKUP(B50,'QB Consolidated Contacts'!$A$1:$F$333,6),"-")</f>
        <v>0</v>
      </c>
      <c r="E50" s="275" t="s">
        <v>42</v>
      </c>
      <c r="F50" s="221" t="s">
        <v>66</v>
      </c>
      <c r="G50" s="221" t="s">
        <v>44</v>
      </c>
      <c r="H50" s="294"/>
      <c r="I50" s="258" t="s">
        <v>78</v>
      </c>
      <c r="J50" s="276" t="s">
        <v>39</v>
      </c>
      <c r="K50" s="276"/>
      <c r="L50" s="93">
        <v>43041</v>
      </c>
      <c r="M50" s="92" t="s">
        <v>46</v>
      </c>
      <c r="N50" s="93" t="str">
        <f>IFERROR(EDATE(L50,M50),"")</f>
        <v/>
      </c>
      <c r="O50" s="92" t="str">
        <f ca="1">IFERROR(N50-TODAY(),"")</f>
        <v/>
      </c>
      <c r="P50" s="92"/>
      <c r="R50" s="52"/>
      <c r="S50" s="52"/>
      <c r="T50" s="52"/>
      <c r="U50" s="52"/>
      <c r="V50" s="52"/>
      <c r="W50" s="52"/>
      <c r="X50" s="94"/>
      <c r="Y50" s="94"/>
      <c r="Z50" s="94"/>
      <c r="AA50" s="94"/>
      <c r="AK50" s="92" t="str">
        <f ca="1">IF(AGREEMENTS[[#This Row],[Days to Contract End]]&lt;=90,"R",IF(AND(AGREEMENTS[[#This Row],[Days to Contract End]]&lt;180),"A","G"))</f>
        <v>G</v>
      </c>
      <c r="AL50" s="235" t="s">
        <v>141</v>
      </c>
      <c r="AM50" s="326"/>
      <c r="AN50" s="52"/>
      <c r="AP50" s="52"/>
      <c r="AQ50" s="52"/>
    </row>
    <row r="51" spans="2:43">
      <c r="B51" s="155" t="s">
        <v>140</v>
      </c>
      <c r="C51" s="91">
        <f>IFERROR(VLOOKUP(B51,'QB Consolidated Contacts'!$A$1:$F$333,6),"-")</f>
        <v>0</v>
      </c>
      <c r="E51" s="275" t="s">
        <v>42</v>
      </c>
      <c r="F51" s="221" t="s">
        <v>43</v>
      </c>
      <c r="G51" s="221" t="s">
        <v>44</v>
      </c>
      <c r="H51" s="294"/>
      <c r="I51" s="258" t="s">
        <v>45</v>
      </c>
      <c r="J51" s="276" t="s">
        <v>39</v>
      </c>
      <c r="K51" s="276"/>
      <c r="L51" s="93">
        <v>43066</v>
      </c>
      <c r="M51" s="92" t="s">
        <v>46</v>
      </c>
      <c r="N51" s="93" t="str">
        <f>IFERROR(EDATE(L51,M51),"")</f>
        <v/>
      </c>
      <c r="O51" s="92" t="str">
        <f ca="1">IFERROR(N51-TODAY(),"")</f>
        <v/>
      </c>
      <c r="P51" s="92"/>
      <c r="R51" s="52"/>
      <c r="S51" s="52"/>
      <c r="T51" s="52"/>
      <c r="U51" s="52"/>
      <c r="V51" s="52"/>
      <c r="W51" s="52"/>
      <c r="X51" s="94"/>
      <c r="Y51" s="94"/>
      <c r="Z51" s="94"/>
      <c r="AA51" s="94"/>
      <c r="AK51" s="92" t="str">
        <f ca="1">IF(AGREEMENTS[[#This Row],[Days to Contract End]]&lt;=90,"R",IF(AND(AGREEMENTS[[#This Row],[Days to Contract End]]&lt;180),"A","G"))</f>
        <v>G</v>
      </c>
      <c r="AL51" s="235" t="s">
        <v>142</v>
      </c>
      <c r="AM51" s="326"/>
      <c r="AN51" s="52"/>
      <c r="AP51" s="52"/>
      <c r="AQ51" s="52"/>
    </row>
    <row r="52" spans="2:43">
      <c r="B52" s="155" t="s">
        <v>143</v>
      </c>
      <c r="C52" s="91">
        <f>IFERROR(VLOOKUP(B52,'QB Consolidated Contacts'!$A$1:$F$333,6),"-")</f>
        <v>0</v>
      </c>
      <c r="E52" s="275" t="s">
        <v>42</v>
      </c>
      <c r="F52" s="221" t="s">
        <v>43</v>
      </c>
      <c r="G52" s="221" t="s">
        <v>44</v>
      </c>
      <c r="H52" s="294"/>
      <c r="I52" s="258" t="s">
        <v>45</v>
      </c>
      <c r="J52" s="276" t="s">
        <v>40</v>
      </c>
      <c r="K52" s="276"/>
      <c r="L52" s="93">
        <v>44531</v>
      </c>
      <c r="M52" s="92" t="s">
        <v>144</v>
      </c>
      <c r="N52" s="93" t="str">
        <f>IFERROR(EDATE(L52,M52),"")</f>
        <v/>
      </c>
      <c r="O52" s="92" t="str">
        <f ca="1">IFERROR(N52-TODAY(),"")</f>
        <v/>
      </c>
      <c r="P52" s="92" t="s">
        <v>39</v>
      </c>
      <c r="R52" s="52"/>
      <c r="S52" s="52" t="s">
        <v>47</v>
      </c>
      <c r="T52" s="52"/>
      <c r="U52" s="52"/>
      <c r="V52" s="52"/>
      <c r="W52" s="52"/>
      <c r="X52" s="94"/>
      <c r="Y52" s="94"/>
      <c r="Z52" s="94"/>
      <c r="AA52" s="94"/>
      <c r="AJ52" s="94" t="s">
        <v>49</v>
      </c>
      <c r="AK52" s="92" t="str">
        <f ca="1">IF(AGREEMENTS[[#This Row],[Days to Contract End]]&lt;=90,"R",IF(AND(AGREEMENTS[[#This Row],[Days to Contract End]]&lt;180),"A","G"))</f>
        <v>G</v>
      </c>
      <c r="AL52" s="235"/>
      <c r="AM52" s="326"/>
      <c r="AN52" s="52"/>
      <c r="AP52" s="52"/>
      <c r="AQ52" s="52"/>
    </row>
    <row r="53" spans="2:43" ht="45">
      <c r="B53" s="155" t="s">
        <v>145</v>
      </c>
      <c r="C53" s="91">
        <f>IFERROR(VLOOKUP(B53,'QB Consolidated Contacts'!$A$1:$F$333,6),"-")</f>
        <v>0</v>
      </c>
      <c r="D53" s="206" t="s">
        <v>132</v>
      </c>
      <c r="E53" s="275" t="s">
        <v>42</v>
      </c>
      <c r="F53" s="221" t="s">
        <v>43</v>
      </c>
      <c r="G53" s="221" t="s">
        <v>44</v>
      </c>
      <c r="H53" s="294"/>
      <c r="I53" s="257" t="s">
        <v>146</v>
      </c>
      <c r="J53" s="276" t="s">
        <v>39</v>
      </c>
      <c r="K53" s="276" t="s">
        <v>39</v>
      </c>
      <c r="L53" s="93">
        <v>45103</v>
      </c>
      <c r="M53" s="92">
        <v>12</v>
      </c>
      <c r="N53" s="93">
        <f>IFERROR(EDATE(L53,M53),"")</f>
        <v>45469</v>
      </c>
      <c r="O53" s="92">
        <f ca="1">IFERROR(N53-TODAY(),"")</f>
        <v>-624</v>
      </c>
      <c r="P53" s="92"/>
      <c r="R53" s="52"/>
      <c r="S53" s="52"/>
      <c r="T53" s="52"/>
      <c r="U53" s="52"/>
      <c r="V53" s="52"/>
      <c r="W53" s="52"/>
      <c r="X53" s="94"/>
      <c r="Y53" s="94"/>
      <c r="Z53" s="94"/>
      <c r="AA53" s="94"/>
      <c r="AK53" s="92" t="str">
        <f ca="1">IF(AGREEMENTS[[#This Row],[Days to Contract End]]&lt;=90,"R",IF(AND(AGREEMENTS[[#This Row],[Days to Contract End]]&lt;180),"A","G"))</f>
        <v>R</v>
      </c>
      <c r="AL53" s="235" t="s">
        <v>147</v>
      </c>
      <c r="AM53" s="326"/>
      <c r="AN53" s="52"/>
      <c r="AP53" s="52"/>
      <c r="AQ53" s="52"/>
    </row>
    <row r="54" spans="2:43">
      <c r="B54" s="155" t="s">
        <v>148</v>
      </c>
      <c r="C54" s="91">
        <f>IFERROR(VLOOKUP(B54,'QB Consolidated Contacts'!$A$1:$F$333,6),"-")</f>
        <v>0</v>
      </c>
      <c r="E54" s="275" t="s">
        <v>42</v>
      </c>
      <c r="F54" s="221" t="s">
        <v>43</v>
      </c>
      <c r="G54" s="221" t="s">
        <v>44</v>
      </c>
      <c r="H54" s="306"/>
      <c r="I54" s="254" t="s">
        <v>149</v>
      </c>
      <c r="J54" s="276" t="s">
        <v>39</v>
      </c>
      <c r="K54" s="276" t="s">
        <v>39</v>
      </c>
      <c r="L54" s="93">
        <v>45161</v>
      </c>
      <c r="M54" s="92" t="s">
        <v>46</v>
      </c>
      <c r="N54" s="93" t="str">
        <f>IFERROR(EDATE(L54,M54),"")</f>
        <v/>
      </c>
      <c r="O54" s="92" t="str">
        <f ca="1">IFERROR(N54-TODAY(),"")</f>
        <v/>
      </c>
      <c r="P54" s="92"/>
      <c r="R54" s="52"/>
      <c r="S54" s="52"/>
      <c r="T54" s="52"/>
      <c r="U54" s="52"/>
      <c r="V54" s="52"/>
      <c r="W54" s="52"/>
      <c r="X54" s="94"/>
      <c r="Y54" s="94"/>
      <c r="Z54" s="94"/>
      <c r="AA54" s="94"/>
      <c r="AK54" s="92" t="str">
        <f ca="1">IF(AGREEMENTS[[#This Row],[Days to Contract End]]&lt;=90,"R",IF(AND(AGREEMENTS[[#This Row],[Days to Contract End]]&lt;180),"A","G"))</f>
        <v>G</v>
      </c>
      <c r="AL54" s="235"/>
      <c r="AM54" s="326"/>
      <c r="AN54" s="52"/>
      <c r="AP54" s="52"/>
      <c r="AQ54" s="52"/>
    </row>
    <row r="55" spans="2:43">
      <c r="B55" s="155" t="s">
        <v>148</v>
      </c>
      <c r="C55" s="91">
        <f>IFERROR(VLOOKUP(B55,'QB Consolidated Contacts'!$A$1:$F$333,6),"-")</f>
        <v>0</v>
      </c>
      <c r="E55" s="275" t="s">
        <v>42</v>
      </c>
      <c r="F55" s="221" t="s">
        <v>66</v>
      </c>
      <c r="G55" s="221" t="s">
        <v>44</v>
      </c>
      <c r="H55" s="294"/>
      <c r="I55" s="259" t="s">
        <v>150</v>
      </c>
      <c r="J55" s="276" t="s">
        <v>39</v>
      </c>
      <c r="K55" s="276" t="s">
        <v>39</v>
      </c>
      <c r="L55" s="93">
        <v>45161</v>
      </c>
      <c r="M55" s="92">
        <v>24</v>
      </c>
      <c r="N55" s="93">
        <f>IFERROR(EDATE(L55,M55),"")</f>
        <v>45892</v>
      </c>
      <c r="O55" s="92">
        <f ca="1">IFERROR(N55-TODAY(),"")</f>
        <v>-201</v>
      </c>
      <c r="P55" s="92"/>
      <c r="R55" s="52"/>
      <c r="S55" s="52"/>
      <c r="T55" s="52"/>
      <c r="U55" s="52"/>
      <c r="V55" s="52"/>
      <c r="W55" s="52"/>
      <c r="X55" s="94"/>
      <c r="Y55" s="94"/>
      <c r="Z55" s="94"/>
      <c r="AA55" s="94"/>
      <c r="AK55" s="92" t="str">
        <f ca="1">IF(AGREEMENTS[[#This Row],[Days to Contract End]]&lt;=90,"R",IF(AND(AGREEMENTS[[#This Row],[Days to Contract End]]&lt;180),"A","G"))</f>
        <v>R</v>
      </c>
      <c r="AL55" s="235"/>
      <c r="AM55" s="326"/>
      <c r="AN55" s="52"/>
      <c r="AP55" s="52"/>
      <c r="AQ55" s="52"/>
    </row>
    <row r="56" spans="2:43">
      <c r="B56" s="155" t="s">
        <v>151</v>
      </c>
      <c r="C56" s="91">
        <f>IFERROR(VLOOKUP(B56,'QB Consolidated Contacts'!$A$1:$F$333,6),"-")</f>
        <v>0</v>
      </c>
      <c r="E56" s="275" t="s">
        <v>42</v>
      </c>
      <c r="F56" s="221" t="s">
        <v>66</v>
      </c>
      <c r="G56" s="221" t="s">
        <v>44</v>
      </c>
      <c r="H56" s="294"/>
      <c r="I56" s="258" t="s">
        <v>78</v>
      </c>
      <c r="J56" s="276" t="s">
        <v>39</v>
      </c>
      <c r="K56" s="276"/>
      <c r="L56" s="93">
        <v>44887</v>
      </c>
      <c r="M56" s="92">
        <v>36</v>
      </c>
      <c r="N56" s="93">
        <f>IFERROR(EDATE(L56,M56),"")</f>
        <v>45983</v>
      </c>
      <c r="O56" s="92">
        <f ca="1">IFERROR(N56-TODAY(),"")</f>
        <v>-110</v>
      </c>
      <c r="P56" s="92"/>
      <c r="R56" s="52"/>
      <c r="S56" s="52"/>
      <c r="T56" s="52"/>
      <c r="U56" s="52"/>
      <c r="V56" s="52"/>
      <c r="W56" s="52"/>
      <c r="X56" s="94"/>
      <c r="Y56" s="94"/>
      <c r="Z56" s="94"/>
      <c r="AA56" s="94"/>
      <c r="AK56" s="92" t="str">
        <f ca="1">IF(AGREEMENTS[[#This Row],[Days to Contract End]]&lt;=90,"R",IF(AND(AGREEMENTS[[#This Row],[Days to Contract End]]&lt;180),"A","G"))</f>
        <v>R</v>
      </c>
      <c r="AL56" s="235"/>
      <c r="AM56" s="326"/>
      <c r="AN56" s="52"/>
      <c r="AP56" s="52"/>
      <c r="AQ56" s="52"/>
    </row>
    <row r="57" spans="2:43">
      <c r="B57" s="155" t="s">
        <v>152</v>
      </c>
      <c r="C57" s="91">
        <f>IFERROR(VLOOKUP(B57,'QB Consolidated Contacts'!$A$1:$F$333,6),"-")</f>
        <v>0</v>
      </c>
      <c r="E57" s="275"/>
      <c r="F57" s="221"/>
      <c r="G57" s="221" t="s">
        <v>108</v>
      </c>
      <c r="H57" s="294"/>
      <c r="I57" s="259"/>
      <c r="J57" s="276" t="s">
        <v>40</v>
      </c>
      <c r="K57" s="276"/>
      <c r="L57" s="93"/>
      <c r="M57" s="92"/>
      <c r="N57" s="93">
        <f>IFERROR(EDATE(L57,M57),"")</f>
        <v>0</v>
      </c>
      <c r="O57" s="92">
        <f ca="1">IFERROR(N57-TODAY(),"")</f>
        <v>-46093</v>
      </c>
      <c r="P57" s="92"/>
      <c r="R57" s="52"/>
      <c r="S57" s="52"/>
      <c r="T57" s="52"/>
      <c r="U57" s="52"/>
      <c r="V57" s="52"/>
      <c r="W57" s="52"/>
      <c r="X57" s="94"/>
      <c r="Y57" s="94"/>
      <c r="Z57" s="94"/>
      <c r="AA57" s="94"/>
      <c r="AK57" s="92" t="str">
        <f ca="1">IF(AGREEMENTS[[#This Row],[Days to Contract End]]&lt;=90,"R",IF(AND(AGREEMENTS[[#This Row],[Days to Contract End]]&lt;180),"A","G"))</f>
        <v>R</v>
      </c>
      <c r="AL57" s="235"/>
      <c r="AM57" s="326"/>
      <c r="AN57" s="52"/>
      <c r="AP57" s="52"/>
      <c r="AQ57" s="52"/>
    </row>
    <row r="58" spans="2:43">
      <c r="B58" s="155" t="s">
        <v>153</v>
      </c>
      <c r="C58" s="91">
        <f>IFERROR(VLOOKUP(B58,'QB Consolidated Contacts'!$A$1:$F$333,6),"-")</f>
        <v>0</v>
      </c>
      <c r="E58" s="275" t="s">
        <v>42</v>
      </c>
      <c r="F58" s="221" t="s">
        <v>43</v>
      </c>
      <c r="G58" s="221" t="s">
        <v>44</v>
      </c>
      <c r="H58" s="305"/>
      <c r="I58" s="293" t="s">
        <v>154</v>
      </c>
      <c r="J58" s="276" t="s">
        <v>39</v>
      </c>
      <c r="K58" s="276" t="s">
        <v>39</v>
      </c>
      <c r="L58" s="93">
        <v>45434</v>
      </c>
      <c r="M58" s="92" t="s">
        <v>46</v>
      </c>
      <c r="N58" s="93" t="str">
        <f>IFERROR(EDATE(L58,M58),"")</f>
        <v/>
      </c>
      <c r="O58" s="92" t="str">
        <f ca="1">IFERROR(N58-TODAY(),"")</f>
        <v/>
      </c>
      <c r="P58" s="92" t="s">
        <v>39</v>
      </c>
      <c r="R58" s="52" t="s">
        <v>60</v>
      </c>
      <c r="S58" s="52"/>
      <c r="T58" s="52"/>
      <c r="U58" s="52" t="s">
        <v>60</v>
      </c>
      <c r="V58" s="52"/>
      <c r="W58" s="52"/>
      <c r="X58" s="94" t="s">
        <v>155</v>
      </c>
      <c r="Y58" s="94" t="s">
        <v>155</v>
      </c>
      <c r="Z58" s="94" t="s">
        <v>155</v>
      </c>
      <c r="AA58" s="94"/>
      <c r="AH58" s="94" t="s">
        <v>60</v>
      </c>
      <c r="AI58" s="94" t="s">
        <v>60</v>
      </c>
      <c r="AJ58" s="94" t="s">
        <v>60</v>
      </c>
      <c r="AK58" s="92" t="str">
        <f ca="1">IF(AGREEMENTS[[#This Row],[Days to Contract End]]&lt;=90,"R",IF(AND(AGREEMENTS[[#This Row],[Days to Contract End]]&lt;180),"A","G"))</f>
        <v>G</v>
      </c>
      <c r="AL58" s="235"/>
      <c r="AM58" s="326"/>
      <c r="AN58" s="52"/>
      <c r="AP58" s="52"/>
      <c r="AQ58" s="52"/>
    </row>
    <row r="59" spans="2:43">
      <c r="B59" s="155" t="s">
        <v>156</v>
      </c>
      <c r="C59" s="91">
        <f>IFERROR(VLOOKUP(B59,'QB Consolidated Contacts'!$A$1:$F$333,6),"-")</f>
        <v>0</v>
      </c>
      <c r="E59" s="275"/>
      <c r="F59" s="221" t="s">
        <v>43</v>
      </c>
      <c r="G59" s="221"/>
      <c r="H59" s="294"/>
      <c r="I59" s="294"/>
      <c r="J59" s="276" t="s">
        <v>40</v>
      </c>
      <c r="K59" s="276"/>
      <c r="L59" s="93"/>
      <c r="M59" s="92"/>
      <c r="N59" s="93">
        <f>IFERROR(EDATE(L59,M59),"")</f>
        <v>0</v>
      </c>
      <c r="O59" s="92">
        <f ca="1">IFERROR(N59-TODAY(),"")</f>
        <v>-46093</v>
      </c>
      <c r="P59" s="92"/>
      <c r="R59" s="52"/>
      <c r="S59" s="52"/>
      <c r="T59" s="52"/>
      <c r="U59" s="52"/>
      <c r="V59" s="52"/>
      <c r="W59" s="52"/>
      <c r="X59" s="94"/>
      <c r="Y59" s="94"/>
      <c r="Z59" s="94"/>
      <c r="AA59" s="94"/>
      <c r="AK59" s="92" t="str">
        <f ca="1">IF(AGREEMENTS[[#This Row],[Days to Contract End]]&lt;=90,"R",IF(AND(AGREEMENTS[[#This Row],[Days to Contract End]]&lt;180),"A","G"))</f>
        <v>R</v>
      </c>
      <c r="AL59" s="235"/>
      <c r="AM59" s="326"/>
      <c r="AN59" s="52"/>
      <c r="AP59" s="52"/>
      <c r="AQ59" s="52"/>
    </row>
    <row r="60" spans="2:43" ht="45">
      <c r="B60" s="155" t="s">
        <v>157</v>
      </c>
      <c r="C60" s="275" t="s">
        <v>42</v>
      </c>
      <c r="D60" s="206" t="s">
        <v>132</v>
      </c>
      <c r="E60" s="221" t="s">
        <v>158</v>
      </c>
      <c r="F60" s="221" t="s">
        <v>43</v>
      </c>
      <c r="G60" s="221" t="s">
        <v>44</v>
      </c>
      <c r="H60" s="294"/>
      <c r="I60" s="258" t="s">
        <v>159</v>
      </c>
      <c r="J60" s="91" t="s">
        <v>39</v>
      </c>
      <c r="K60" s="276" t="s">
        <v>40</v>
      </c>
      <c r="L60" s="276"/>
      <c r="M60" s="275"/>
      <c r="N60" s="276" t="s">
        <v>48</v>
      </c>
      <c r="O60" s="272"/>
      <c r="P60" s="272"/>
      <c r="Q60" s="273" t="s">
        <v>48</v>
      </c>
      <c r="R60" s="273" t="s">
        <v>48</v>
      </c>
      <c r="S60" s="274" t="s">
        <v>48</v>
      </c>
      <c r="T60" s="93"/>
      <c r="U60" s="92"/>
      <c r="V60" s="93"/>
      <c r="W60"/>
      <c r="Y60" s="235"/>
      <c r="Z60" s="94"/>
      <c r="AA60" s="94"/>
      <c r="AK60" s="92" t="str">
        <f>IF(AGREEMENTS[[#This Row],[Days to Contract End]]&lt;=90,"R",IF(AND(AGREEMENTS[[#This Row],[Days to Contract End]]&lt;180),"A","G"))</f>
        <v>R</v>
      </c>
      <c r="AL60" s="235"/>
      <c r="AM60" s="326"/>
      <c r="AN60" s="52"/>
      <c r="AP60" s="52"/>
      <c r="AQ60" s="52"/>
    </row>
    <row r="61" spans="2:43">
      <c r="B61" s="155" t="s">
        <v>160</v>
      </c>
      <c r="C61" s="91">
        <f>IFERROR(VLOOKUP(B61,'QB Consolidated Contacts'!$A$1:$F$333,6),"-")</f>
        <v>0</v>
      </c>
      <c r="E61" s="275" t="s">
        <v>42</v>
      </c>
      <c r="F61" s="221" t="s">
        <v>66</v>
      </c>
      <c r="G61" s="221" t="s">
        <v>44</v>
      </c>
      <c r="H61" s="294"/>
      <c r="I61" s="258" t="s">
        <v>161</v>
      </c>
      <c r="J61" s="276" t="s">
        <v>39</v>
      </c>
      <c r="K61" s="276"/>
      <c r="L61" s="93">
        <v>42411</v>
      </c>
      <c r="M61" s="92">
        <v>24</v>
      </c>
      <c r="N61" s="93">
        <f>IFERROR(EDATE(L61,M61),"")</f>
        <v>43142</v>
      </c>
      <c r="O61" s="92">
        <f ca="1">IFERROR(N61-TODAY(),"")</f>
        <v>-2951</v>
      </c>
      <c r="P61" s="92"/>
      <c r="R61" s="52"/>
      <c r="S61" s="52"/>
      <c r="T61" s="52"/>
      <c r="U61" s="52"/>
      <c r="V61" s="52"/>
      <c r="W61" s="52"/>
      <c r="X61" s="94"/>
      <c r="Y61" s="94"/>
      <c r="Z61" s="94"/>
      <c r="AA61" s="94"/>
      <c r="AK61" s="92" t="str">
        <f ca="1">IF(AGREEMENTS[[#This Row],[Days to Contract End]]&lt;=90,"R",IF(AND(AGREEMENTS[[#This Row],[Days to Contract End]]&lt;180),"A","G"))</f>
        <v>R</v>
      </c>
      <c r="AL61" s="235"/>
      <c r="AM61" s="326"/>
      <c r="AN61" s="52"/>
      <c r="AP61" s="52"/>
      <c r="AQ61" s="52"/>
    </row>
    <row r="62" spans="2:43">
      <c r="B62" s="155" t="s">
        <v>160</v>
      </c>
      <c r="C62" s="91">
        <f>IFERROR(VLOOKUP(B62,'QB Consolidated Contacts'!$A$1:$F$333,6),"-")</f>
        <v>0</v>
      </c>
      <c r="E62" s="275" t="s">
        <v>42</v>
      </c>
      <c r="F62" s="221" t="s">
        <v>43</v>
      </c>
      <c r="G62" s="221" t="s">
        <v>44</v>
      </c>
      <c r="H62" s="294"/>
      <c r="I62" s="258" t="s">
        <v>45</v>
      </c>
      <c r="J62" s="276" t="s">
        <v>40</v>
      </c>
      <c r="K62" s="276"/>
      <c r="L62" s="93"/>
      <c r="M62" s="92"/>
      <c r="N62" s="93">
        <f>IFERROR(EDATE(L62,M62),"")</f>
        <v>0</v>
      </c>
      <c r="O62" s="92">
        <f ca="1">IFERROR(N62-TODAY(),"")</f>
        <v>-46093</v>
      </c>
      <c r="P62" s="92"/>
      <c r="R62" s="52"/>
      <c r="S62" s="52"/>
      <c r="T62" s="52"/>
      <c r="U62" s="52"/>
      <c r="V62" s="52"/>
      <c r="W62" s="52"/>
      <c r="X62" s="94"/>
      <c r="Y62" s="94"/>
      <c r="Z62" s="94"/>
      <c r="AA62" s="94"/>
      <c r="AK62" s="92" t="str">
        <f ca="1">IF(AGREEMENTS[[#This Row],[Days to Contract End]]&lt;=90,"R",IF(AND(AGREEMENTS[[#This Row],[Days to Contract End]]&lt;180),"A","G"))</f>
        <v>R</v>
      </c>
      <c r="AL62" s="235"/>
      <c r="AM62" s="326"/>
      <c r="AN62" s="52"/>
      <c r="AP62" s="52"/>
      <c r="AQ62" s="52"/>
    </row>
    <row r="63" spans="2:43">
      <c r="B63" s="155" t="s">
        <v>160</v>
      </c>
      <c r="C63" s="91">
        <f>IFERROR(VLOOKUP(B63,'QB Consolidated Contacts'!$A$1:$F$333,6),"-")</f>
        <v>0</v>
      </c>
      <c r="E63" s="275"/>
      <c r="F63" s="221"/>
      <c r="G63" s="221" t="s">
        <v>108</v>
      </c>
      <c r="H63" s="294"/>
      <c r="I63" s="294" t="s">
        <v>162</v>
      </c>
      <c r="J63" s="276" t="s">
        <v>40</v>
      </c>
      <c r="K63" s="276"/>
      <c r="L63" s="93"/>
      <c r="M63" s="92"/>
      <c r="N63" s="93">
        <f>IFERROR(EDATE(L63,M63),"")</f>
        <v>0</v>
      </c>
      <c r="O63" s="92">
        <f ca="1">IFERROR(N63-TODAY(),"")</f>
        <v>-46093</v>
      </c>
      <c r="P63" s="92"/>
      <c r="R63" s="52" t="s">
        <v>48</v>
      </c>
      <c r="S63" s="52" t="s">
        <v>48</v>
      </c>
      <c r="T63" s="52"/>
      <c r="U63" s="52"/>
      <c r="V63" s="52" t="s">
        <v>48</v>
      </c>
      <c r="W63" s="52"/>
      <c r="X63" s="94" t="s">
        <v>48</v>
      </c>
      <c r="Y63" s="94" t="s">
        <v>48</v>
      </c>
      <c r="Z63" s="94"/>
      <c r="AA63" s="94"/>
      <c r="AJ63" s="94" t="s">
        <v>48</v>
      </c>
      <c r="AK63" s="92" t="str">
        <f ca="1">IF(AGREEMENTS[[#This Row],[Days to Contract End]]&lt;=90,"R",IF(AND(AGREEMENTS[[#This Row],[Days to Contract End]]&lt;180),"A","G"))</f>
        <v>R</v>
      </c>
      <c r="AL63" s="235" t="s">
        <v>163</v>
      </c>
      <c r="AM63" s="326"/>
      <c r="AN63" s="52"/>
      <c r="AP63" s="52"/>
      <c r="AQ63" s="52"/>
    </row>
    <row r="64" spans="2:43">
      <c r="B64" s="155" t="s">
        <v>164</v>
      </c>
      <c r="C64" s="91">
        <f>IFERROR(VLOOKUP(B64,'QB Consolidated Contacts'!$A$1:$F$333,6),"-")</f>
        <v>0</v>
      </c>
      <c r="E64" s="275" t="s">
        <v>42</v>
      </c>
      <c r="F64" s="221" t="s">
        <v>43</v>
      </c>
      <c r="G64" s="221" t="s">
        <v>44</v>
      </c>
      <c r="H64" s="294"/>
      <c r="I64" s="258" t="s">
        <v>45</v>
      </c>
      <c r="J64" s="276" t="s">
        <v>39</v>
      </c>
      <c r="K64" s="276" t="s">
        <v>39</v>
      </c>
      <c r="L64" s="93">
        <v>44927</v>
      </c>
      <c r="M64" s="92" t="s">
        <v>46</v>
      </c>
      <c r="N64" s="93" t="str">
        <f>IFERROR(EDATE(L64,M64),"")</f>
        <v/>
      </c>
      <c r="O64" s="92" t="str">
        <f ca="1">IFERROR(N64-TODAY(),"")</f>
        <v/>
      </c>
      <c r="P64" s="92" t="s">
        <v>39</v>
      </c>
      <c r="R64" s="52" t="s">
        <v>47</v>
      </c>
      <c r="S64" s="52" t="s">
        <v>49</v>
      </c>
      <c r="T64" s="52"/>
      <c r="U64" s="52"/>
      <c r="V64" s="52"/>
      <c r="W64" s="52"/>
      <c r="X64" s="94"/>
      <c r="Y64" s="94"/>
      <c r="Z64" s="94"/>
      <c r="AA64" s="94"/>
      <c r="AK64" s="92" t="str">
        <f ca="1">IF(AGREEMENTS[[#This Row],[Days to Contract End]]&lt;=90,"R",IF(AND(AGREEMENTS[[#This Row],[Days to Contract End]]&lt;180),"A","G"))</f>
        <v>G</v>
      </c>
      <c r="AL64" s="235"/>
      <c r="AM64" s="326"/>
      <c r="AN64" s="52"/>
      <c r="AP64" s="52"/>
      <c r="AQ64" s="52"/>
    </row>
    <row r="65" spans="2:43">
      <c r="B65" s="155" t="s">
        <v>164</v>
      </c>
      <c r="C65" s="91">
        <f>IFERROR(VLOOKUP(B65,'QB Consolidated Contacts'!$A$1:$F$333,6),"-")</f>
        <v>0</v>
      </c>
      <c r="E65" s="275" t="s">
        <v>42</v>
      </c>
      <c r="F65" s="221" t="s">
        <v>66</v>
      </c>
      <c r="G65" s="221" t="s">
        <v>44</v>
      </c>
      <c r="H65" s="307"/>
      <c r="I65" s="295" t="s">
        <v>165</v>
      </c>
      <c r="J65" s="276" t="s">
        <v>39</v>
      </c>
      <c r="K65" s="276" t="s">
        <v>39</v>
      </c>
      <c r="L65" s="93"/>
      <c r="M65" s="92"/>
      <c r="N65" s="93">
        <f>IFERROR(EDATE(L65,M65),"")</f>
        <v>0</v>
      </c>
      <c r="O65" s="92">
        <f ca="1">IFERROR(N65-TODAY(),"")</f>
        <v>-46093</v>
      </c>
      <c r="P65" s="92"/>
      <c r="R65" s="52"/>
      <c r="S65" s="52"/>
      <c r="T65" s="52"/>
      <c r="U65" s="52"/>
      <c r="V65" s="52"/>
      <c r="W65" s="52"/>
      <c r="X65" s="94"/>
      <c r="Y65" s="94"/>
      <c r="Z65" s="94"/>
      <c r="AA65" s="94"/>
      <c r="AK65" s="92" t="str">
        <f ca="1">IF(AGREEMENTS[[#This Row],[Days to Contract End]]&lt;=90,"R",IF(AND(AGREEMENTS[[#This Row],[Days to Contract End]]&lt;180),"A","G"))</f>
        <v>R</v>
      </c>
      <c r="AL65" s="235"/>
      <c r="AM65" s="326"/>
      <c r="AN65" s="52"/>
      <c r="AP65" s="52"/>
      <c r="AQ65" s="52"/>
    </row>
    <row r="66" spans="2:43">
      <c r="B66" s="287" t="s">
        <v>166</v>
      </c>
      <c r="C66" s="91">
        <f>IFERROR(VLOOKUP(B66,'QB Consolidated Contacts'!$A$1:$F$333,6),"-")</f>
        <v>0</v>
      </c>
      <c r="E66" s="275" t="s">
        <v>51</v>
      </c>
      <c r="F66" s="221" t="s">
        <v>124</v>
      </c>
      <c r="G66" s="221" t="s">
        <v>44</v>
      </c>
      <c r="H66" s="294"/>
      <c r="I66" s="257" t="s">
        <v>167</v>
      </c>
      <c r="J66" s="276" t="s">
        <v>39</v>
      </c>
      <c r="K66" s="276" t="s">
        <v>39</v>
      </c>
      <c r="L66" s="93">
        <v>45031</v>
      </c>
      <c r="M66" s="92" t="s">
        <v>46</v>
      </c>
      <c r="N66" s="93" t="str">
        <f>IFERROR(EDATE(L66,M66),"")</f>
        <v/>
      </c>
      <c r="O66" s="92" t="str">
        <f ca="1">IFERROR(N66-TODAY(),"")</f>
        <v/>
      </c>
      <c r="P66" s="92" t="s">
        <v>39</v>
      </c>
      <c r="R66" s="52" t="s">
        <v>47</v>
      </c>
      <c r="S66" s="52" t="s">
        <v>49</v>
      </c>
      <c r="T66" s="52"/>
      <c r="U66" s="52"/>
      <c r="V66" s="52"/>
      <c r="W66" s="52"/>
      <c r="X66" s="94"/>
      <c r="Y66" s="94"/>
      <c r="Z66" s="94"/>
      <c r="AA66" s="94"/>
      <c r="AK66" s="92" t="str">
        <f ca="1">IF(AGREEMENTS[[#This Row],[Days to Contract End]]&lt;=90,"R",IF(AND(AGREEMENTS[[#This Row],[Days to Contract End]]&lt;180),"A","G"))</f>
        <v>G</v>
      </c>
      <c r="AL66" s="235"/>
      <c r="AM66" s="326"/>
      <c r="AN66" s="52"/>
      <c r="AP66" s="52"/>
      <c r="AQ66" s="52"/>
    </row>
    <row r="67" spans="2:43" ht="45">
      <c r="B67" s="155" t="s">
        <v>168</v>
      </c>
      <c r="C67" s="91" t="str">
        <f>IFERROR(VLOOKUP(#REF!,'QB Consolidated Contacts'!$A$1:$F$333,6),"-")</f>
        <v>-</v>
      </c>
      <c r="D67" s="206" t="s">
        <v>132</v>
      </c>
      <c r="E67" s="275" t="s">
        <v>42</v>
      </c>
      <c r="F67" s="221" t="s">
        <v>169</v>
      </c>
      <c r="G67" s="221" t="s">
        <v>44</v>
      </c>
      <c r="H67" s="294"/>
      <c r="I67" s="259" t="s">
        <v>170</v>
      </c>
      <c r="J67" s="276" t="s">
        <v>39</v>
      </c>
      <c r="K67" s="276" t="s">
        <v>39</v>
      </c>
      <c r="L67" s="93">
        <v>45071</v>
      </c>
      <c r="M67" s="92"/>
      <c r="N67" s="93">
        <v>45291</v>
      </c>
      <c r="O67" s="92">
        <f ca="1">IFERROR(N67-TODAY(),"")</f>
        <v>-802</v>
      </c>
      <c r="P67" s="92"/>
      <c r="R67" s="52"/>
      <c r="S67" s="52"/>
      <c r="T67" s="52"/>
      <c r="U67" s="52"/>
      <c r="V67" s="52"/>
      <c r="W67" s="52"/>
      <c r="X67" s="94"/>
      <c r="Y67" s="94"/>
      <c r="Z67" s="94"/>
      <c r="AA67" s="94"/>
      <c r="AK67" s="92" t="str">
        <f ca="1">IF(AGREEMENTS[[#This Row],[Days to Contract End]]&lt;=90,"R",IF(AND(AGREEMENTS[[#This Row],[Days to Contract End]]&lt;180),"A","G"))</f>
        <v>R</v>
      </c>
      <c r="AL67" s="235"/>
      <c r="AM67" s="326"/>
      <c r="AN67" s="52"/>
      <c r="AP67" s="52"/>
      <c r="AQ67" s="52"/>
    </row>
    <row r="68" spans="2:43">
      <c r="B68" s="287" t="s">
        <v>171</v>
      </c>
      <c r="C68" s="91">
        <f>IFERROR(VLOOKUP(B68,'QB Consolidated Contacts'!$A$1:$F$333,6),"-")</f>
        <v>0</v>
      </c>
      <c r="E68" s="275" t="s">
        <v>51</v>
      </c>
      <c r="F68" s="221" t="s">
        <v>43</v>
      </c>
      <c r="G68" s="221" t="s">
        <v>44</v>
      </c>
      <c r="H68" s="294"/>
      <c r="I68" s="257" t="s">
        <v>45</v>
      </c>
      <c r="J68" s="276" t="s">
        <v>39</v>
      </c>
      <c r="K68" s="276"/>
      <c r="L68" s="93">
        <v>44713</v>
      </c>
      <c r="M68" s="92" t="s">
        <v>46</v>
      </c>
      <c r="N68" s="93" t="str">
        <f>IFERROR(EDATE(L68,M68),"")</f>
        <v/>
      </c>
      <c r="O68" s="92" t="str">
        <f ca="1">IFERROR(N68-TODAY(),"")</f>
        <v/>
      </c>
      <c r="P68" s="92"/>
      <c r="R68" s="52" t="s">
        <v>60</v>
      </c>
      <c r="S68" s="52" t="s">
        <v>47</v>
      </c>
      <c r="T68" s="52"/>
      <c r="U68" s="52"/>
      <c r="V68" s="52"/>
      <c r="W68" s="52"/>
      <c r="X68" s="94"/>
      <c r="Y68" s="94"/>
      <c r="Z68" s="94"/>
      <c r="AA68" s="94"/>
      <c r="AK68" s="92" t="str">
        <f ca="1">IF(AGREEMENTS[[#This Row],[Days to Contract End]]&lt;=90,"R",IF(AND(AGREEMENTS[[#This Row],[Days to Contract End]]&lt;180),"A","G"))</f>
        <v>G</v>
      </c>
      <c r="AL68" s="235"/>
      <c r="AM68" s="326"/>
      <c r="AN68" s="52"/>
      <c r="AP68" s="52"/>
      <c r="AQ68" s="52"/>
    </row>
    <row r="69" spans="2:43">
      <c r="B69" s="287" t="s">
        <v>171</v>
      </c>
      <c r="C69" s="91">
        <f>IFERROR(VLOOKUP(B69,'QB Consolidated Contacts'!$A$1:$F$333,6),"-")</f>
        <v>0</v>
      </c>
      <c r="E69" s="275" t="s">
        <v>42</v>
      </c>
      <c r="F69" s="221" t="s">
        <v>66</v>
      </c>
      <c r="G69" s="221" t="s">
        <v>44</v>
      </c>
      <c r="H69" s="294"/>
      <c r="I69" s="257" t="s">
        <v>78</v>
      </c>
      <c r="J69" s="276" t="s">
        <v>39</v>
      </c>
      <c r="K69" s="276"/>
      <c r="L69" s="93">
        <v>43003</v>
      </c>
      <c r="M69" s="92" t="s">
        <v>46</v>
      </c>
      <c r="N69" s="93" t="str">
        <f>IFERROR(EDATE(L69,M69),"")</f>
        <v/>
      </c>
      <c r="O69" s="92" t="str">
        <f ca="1">IFERROR(N69-TODAY(),"")</f>
        <v/>
      </c>
      <c r="P69" s="92"/>
      <c r="R69" s="52"/>
      <c r="S69" s="52"/>
      <c r="T69" s="52"/>
      <c r="U69" s="52"/>
      <c r="V69" s="52"/>
      <c r="W69" s="52"/>
      <c r="X69" s="94"/>
      <c r="Y69" s="94"/>
      <c r="Z69" s="94"/>
      <c r="AA69" s="94"/>
      <c r="AK69" s="92" t="str">
        <f ca="1">IF(AGREEMENTS[[#This Row],[Days to Contract End]]&lt;=90,"R",IF(AND(AGREEMENTS[[#This Row],[Days to Contract End]]&lt;180),"A","G"))</f>
        <v>G</v>
      </c>
      <c r="AL69" s="235"/>
      <c r="AM69" s="326"/>
      <c r="AN69" s="52"/>
      <c r="AP69" s="52"/>
      <c r="AQ69" s="52"/>
    </row>
    <row r="70" spans="2:43">
      <c r="B70" s="155" t="s">
        <v>172</v>
      </c>
      <c r="C70" s="91">
        <f>IFERROR(VLOOKUP(B70,'QB Consolidated Contacts'!$A$1:$F$333,6),"-")</f>
        <v>0</v>
      </c>
      <c r="E70" s="275" t="s">
        <v>42</v>
      </c>
      <c r="F70" s="221" t="s">
        <v>43</v>
      </c>
      <c r="G70" s="221" t="s">
        <v>44</v>
      </c>
      <c r="H70" s="294"/>
      <c r="I70" s="258" t="s">
        <v>45</v>
      </c>
      <c r="J70" s="276" t="s">
        <v>39</v>
      </c>
      <c r="K70" s="276" t="s">
        <v>40</v>
      </c>
      <c r="L70" s="93">
        <v>43240</v>
      </c>
      <c r="M70" s="92" t="s">
        <v>46</v>
      </c>
      <c r="N70" s="93" t="str">
        <f>IFERROR(EDATE(L70,M70),"")</f>
        <v/>
      </c>
      <c r="O70" s="92" t="str">
        <f ca="1">IFERROR(N70-TODAY(),"")</f>
        <v/>
      </c>
      <c r="P70" s="92" t="s">
        <v>39</v>
      </c>
      <c r="R70" s="52" t="s">
        <v>47</v>
      </c>
      <c r="S70" s="52" t="s">
        <v>49</v>
      </c>
      <c r="T70" s="52"/>
      <c r="U70" s="52"/>
      <c r="V70" s="52"/>
      <c r="W70" s="52"/>
      <c r="X70" s="94"/>
      <c r="Y70" s="94"/>
      <c r="Z70" s="94"/>
      <c r="AA70" s="94"/>
      <c r="AK70" s="92" t="str">
        <f ca="1">IF(AGREEMENTS[[#This Row],[Days to Contract End]]&lt;=90,"R",IF(AND(AGREEMENTS[[#This Row],[Days to Contract End]]&lt;180),"A","G"))</f>
        <v>G</v>
      </c>
      <c r="AL70" s="235"/>
      <c r="AM70" s="327"/>
      <c r="AN70" s="51"/>
      <c r="AP70" s="52"/>
      <c r="AQ70" s="52"/>
    </row>
    <row r="71" spans="2:43" ht="45">
      <c r="B71" s="287" t="s">
        <v>173</v>
      </c>
      <c r="C71" s="91">
        <f>IFERROR(VLOOKUP(B71,'QB Consolidated Contacts'!$A$1:$F$333,6),"-")</f>
        <v>0</v>
      </c>
      <c r="D71" s="206" t="s">
        <v>174</v>
      </c>
      <c r="E71" s="275" t="s">
        <v>42</v>
      </c>
      <c r="F71" s="221" t="s">
        <v>43</v>
      </c>
      <c r="G71" s="221" t="s">
        <v>175</v>
      </c>
      <c r="H71" s="294"/>
      <c r="I71" s="257" t="s">
        <v>176</v>
      </c>
      <c r="J71" s="276" t="s">
        <v>39</v>
      </c>
      <c r="K71" s="276" t="s">
        <v>39</v>
      </c>
      <c r="L71" s="93">
        <v>45125</v>
      </c>
      <c r="M71" s="92"/>
      <c r="N71" s="93">
        <f>IFERROR(EDATE(L71,M71),"")</f>
        <v>45125</v>
      </c>
      <c r="O71" s="92">
        <f ca="1">IFERROR(N71-TODAY(),"")</f>
        <v>-968</v>
      </c>
      <c r="P71" s="92"/>
      <c r="R71" s="52"/>
      <c r="S71" s="52"/>
      <c r="T71" s="52"/>
      <c r="U71" s="52"/>
      <c r="V71" s="52"/>
      <c r="W71" s="52"/>
      <c r="X71" s="94"/>
      <c r="Y71" s="94"/>
      <c r="Z71" s="94"/>
      <c r="AA71" s="94"/>
      <c r="AK71" s="92" t="str">
        <f ca="1">IF(AGREEMENTS[[#This Row],[Days to Contract End]]&lt;=90,"R",IF(AND(AGREEMENTS[[#This Row],[Days to Contract End]]&lt;180),"A","G"))</f>
        <v>R</v>
      </c>
      <c r="AL71" s="235" t="s">
        <v>177</v>
      </c>
      <c r="AM71" s="327"/>
      <c r="AN71" s="51"/>
      <c r="AP71" s="52"/>
      <c r="AQ71" s="52"/>
    </row>
    <row r="72" spans="2:43">
      <c r="B72" s="155" t="s">
        <v>178</v>
      </c>
      <c r="C72" s="91">
        <f>IFERROR(VLOOKUP(B72,'QB Consolidated Contacts'!$A$1:$F$333,6),"-")</f>
        <v>0</v>
      </c>
      <c r="E72" s="275" t="s">
        <v>42</v>
      </c>
      <c r="F72" s="221" t="s">
        <v>43</v>
      </c>
      <c r="G72" s="221" t="s">
        <v>44</v>
      </c>
      <c r="H72" s="294"/>
      <c r="I72" s="258" t="s">
        <v>45</v>
      </c>
      <c r="J72" s="276" t="s">
        <v>39</v>
      </c>
      <c r="K72" s="276"/>
      <c r="L72" s="93">
        <v>44701</v>
      </c>
      <c r="M72" s="92" t="s">
        <v>46</v>
      </c>
      <c r="N72" s="93" t="str">
        <f>IFERROR(EDATE(L72,M72),"")</f>
        <v/>
      </c>
      <c r="O72" s="92" t="str">
        <f ca="1">IFERROR(N72-TODAY(),"")</f>
        <v/>
      </c>
      <c r="P72" s="92"/>
      <c r="R72" s="52"/>
      <c r="S72" s="52"/>
      <c r="T72" s="52"/>
      <c r="U72" s="52"/>
      <c r="V72" s="52"/>
      <c r="W72" s="52"/>
      <c r="X72" s="94"/>
      <c r="Y72" s="94"/>
      <c r="Z72" s="94"/>
      <c r="AA72" s="94"/>
      <c r="AK72" s="92" t="str">
        <f ca="1">IF(AGREEMENTS[[#This Row],[Days to Contract End]]&lt;=90,"R",IF(AND(AGREEMENTS[[#This Row],[Days to Contract End]]&lt;180),"A","G"))</f>
        <v>G</v>
      </c>
      <c r="AL72" s="235"/>
      <c r="AM72" s="327"/>
      <c r="AN72" s="51"/>
      <c r="AP72" s="52"/>
      <c r="AQ72" s="52"/>
    </row>
    <row r="73" spans="2:43">
      <c r="B73" s="155" t="s">
        <v>178</v>
      </c>
      <c r="C73" s="91">
        <f>IFERROR(VLOOKUP(B73,'QB Consolidated Contacts'!$A$1:$F$333,6),"-")</f>
        <v>0</v>
      </c>
      <c r="E73" s="275" t="s">
        <v>42</v>
      </c>
      <c r="F73" s="221" t="s">
        <v>43</v>
      </c>
      <c r="G73" s="221" t="s">
        <v>44</v>
      </c>
      <c r="H73" s="294"/>
      <c r="I73" s="257" t="s">
        <v>179</v>
      </c>
      <c r="J73" s="276" t="s">
        <v>39</v>
      </c>
      <c r="K73" s="276" t="s">
        <v>39</v>
      </c>
      <c r="L73" s="93">
        <v>44701</v>
      </c>
      <c r="M73" s="92" t="s">
        <v>46</v>
      </c>
      <c r="N73" s="93" t="str">
        <f>IFERROR(EDATE(L73,M73),"")</f>
        <v/>
      </c>
      <c r="O73" s="92" t="str">
        <f ca="1">IFERROR(N73-TODAY(),"")</f>
        <v/>
      </c>
      <c r="P73" s="92" t="s">
        <v>39</v>
      </c>
      <c r="R73" s="52" t="s">
        <v>47</v>
      </c>
      <c r="S73" s="52" t="s">
        <v>49</v>
      </c>
      <c r="T73" s="52"/>
      <c r="U73" s="52"/>
      <c r="V73" s="52"/>
      <c r="W73" s="52"/>
      <c r="X73" s="94"/>
      <c r="Y73" s="94"/>
      <c r="Z73" s="94"/>
      <c r="AA73" s="94"/>
      <c r="AK73" s="92" t="str">
        <f ca="1">IF(AGREEMENTS[[#This Row],[Days to Contract End]]&lt;=90,"R",IF(AND(AGREEMENTS[[#This Row],[Days to Contract End]]&lt;180),"A","G"))</f>
        <v>G</v>
      </c>
      <c r="AL73" s="235"/>
      <c r="AM73" s="325"/>
      <c r="AN73" s="72"/>
      <c r="AO73" s="51"/>
      <c r="AP73" s="52"/>
      <c r="AQ73" s="52"/>
    </row>
    <row r="74" spans="2:43">
      <c r="B74" s="155" t="s">
        <v>178</v>
      </c>
      <c r="C74" s="91">
        <f>IFERROR(VLOOKUP(B74,'QB Consolidated Contacts'!$A$1:$F$333,6),"-")</f>
        <v>0</v>
      </c>
      <c r="E74" s="275" t="s">
        <v>42</v>
      </c>
      <c r="F74" s="221" t="s">
        <v>180</v>
      </c>
      <c r="G74" s="221" t="s">
        <v>44</v>
      </c>
      <c r="H74" s="294"/>
      <c r="I74" s="257" t="s">
        <v>181</v>
      </c>
      <c r="J74" s="276" t="s">
        <v>39</v>
      </c>
      <c r="K74" s="276" t="s">
        <v>39</v>
      </c>
      <c r="L74" s="93" t="s">
        <v>182</v>
      </c>
      <c r="M74" s="92" t="s">
        <v>46</v>
      </c>
      <c r="N74" s="93" t="str">
        <f>IFERROR(EDATE(L74,M74),"")</f>
        <v/>
      </c>
      <c r="O74" s="92" t="str">
        <f ca="1">IFERROR(N74-TODAY(),"")</f>
        <v/>
      </c>
      <c r="P74" s="92"/>
      <c r="R74" s="52"/>
      <c r="S74" s="52"/>
      <c r="T74" s="52"/>
      <c r="U74" s="52"/>
      <c r="V74" s="52"/>
      <c r="W74" s="52"/>
      <c r="X74" s="94"/>
      <c r="Y74" s="94"/>
      <c r="Z74" s="94"/>
      <c r="AA74" s="94"/>
      <c r="AK74" s="92" t="str">
        <f ca="1">IF(AGREEMENTS[[#This Row],[Days to Contract End]]&lt;=90,"R",IF(AND(AGREEMENTS[[#This Row],[Days to Contract End]]&lt;180),"A","G"))</f>
        <v>G</v>
      </c>
      <c r="AL74" s="235"/>
      <c r="AM74" s="325"/>
      <c r="AN74" s="72"/>
      <c r="AO74" s="51"/>
      <c r="AP74" s="52"/>
      <c r="AQ74" s="52"/>
    </row>
    <row r="75" spans="2:43">
      <c r="B75" s="155" t="s">
        <v>183</v>
      </c>
      <c r="C75" s="91">
        <f>IFERROR(VLOOKUP(B75,'QB Consolidated Contacts'!$A$1:$F$333,6),"-")</f>
        <v>0</v>
      </c>
      <c r="E75" s="272" t="s">
        <v>42</v>
      </c>
      <c r="F75" s="221" t="s">
        <v>66</v>
      </c>
      <c r="G75" s="221" t="s">
        <v>44</v>
      </c>
      <c r="H75" s="305"/>
      <c r="I75" s="293" t="s">
        <v>184</v>
      </c>
      <c r="J75" s="276" t="s">
        <v>39</v>
      </c>
      <c r="K75" s="276" t="s">
        <v>40</v>
      </c>
      <c r="L75" s="93">
        <v>43843</v>
      </c>
      <c r="M75" s="92" t="s">
        <v>46</v>
      </c>
      <c r="N75" s="93" t="str">
        <f>IFERROR(EDATE(L75,M75),"")</f>
        <v/>
      </c>
      <c r="O75" s="92" t="str">
        <f ca="1">IFERROR(N75-TODAY(),"")</f>
        <v/>
      </c>
      <c r="P75" s="92"/>
      <c r="R75" s="52"/>
      <c r="S75" s="52"/>
      <c r="T75" s="52"/>
      <c r="U75" s="52"/>
      <c r="V75" s="52"/>
      <c r="W75" s="52"/>
      <c r="X75" s="94"/>
      <c r="Y75" s="94"/>
      <c r="Z75" s="94"/>
      <c r="AA75" s="94"/>
      <c r="AK75" s="92" t="str">
        <f ca="1">IF(AGREEMENTS[[#This Row],[Days to Contract End]]&lt;=90,"R",IF(AND(AGREEMENTS[[#This Row],[Days to Contract End]]&lt;180),"A","G"))</f>
        <v>G</v>
      </c>
      <c r="AL75" s="235"/>
      <c r="AM75" s="325"/>
      <c r="AN75" s="72"/>
      <c r="AO75" s="51"/>
      <c r="AP75" s="52"/>
      <c r="AQ75" s="52"/>
    </row>
    <row r="76" spans="2:43">
      <c r="B76" s="155" t="s">
        <v>183</v>
      </c>
      <c r="C76" s="91">
        <f>IFERROR(VLOOKUP(B76,'QB Consolidated Contacts'!$A$1:$F$333,6),"-")</f>
        <v>0</v>
      </c>
      <c r="E76" s="272" t="s">
        <v>42</v>
      </c>
      <c r="F76" s="221" t="s">
        <v>43</v>
      </c>
      <c r="G76" s="221" t="s">
        <v>44</v>
      </c>
      <c r="H76" s="305"/>
      <c r="I76" s="293" t="s">
        <v>185</v>
      </c>
      <c r="J76" s="276" t="s">
        <v>39</v>
      </c>
      <c r="K76" s="276" t="s">
        <v>40</v>
      </c>
      <c r="L76" s="93">
        <v>43860</v>
      </c>
      <c r="M76" s="92" t="s">
        <v>46</v>
      </c>
      <c r="N76" s="93" t="str">
        <f>IFERROR(EDATE(L76,M76),"")</f>
        <v/>
      </c>
      <c r="O76" s="92" t="str">
        <f ca="1">IFERROR(N76-TODAY(),"")</f>
        <v/>
      </c>
      <c r="P76" s="92"/>
      <c r="R76" s="52"/>
      <c r="S76" s="52"/>
      <c r="T76" s="52"/>
      <c r="U76" s="52"/>
      <c r="V76" s="52"/>
      <c r="W76" s="52"/>
      <c r="X76" s="94"/>
      <c r="Y76" s="94"/>
      <c r="Z76" s="94"/>
      <c r="AA76" s="94"/>
      <c r="AK76" s="92" t="str">
        <f ca="1">IF(AGREEMENTS[[#This Row],[Days to Contract End]]&lt;=90,"R",IF(AND(AGREEMENTS[[#This Row],[Days to Contract End]]&lt;180),"A","G"))</f>
        <v>G</v>
      </c>
      <c r="AL76" s="235"/>
      <c r="AM76" s="325"/>
      <c r="AN76" s="72"/>
      <c r="AO76" s="51"/>
      <c r="AP76" s="52"/>
      <c r="AQ76" s="52"/>
    </row>
    <row r="77" spans="2:43">
      <c r="B77" s="287" t="s">
        <v>186</v>
      </c>
      <c r="C77" s="278">
        <f>IFERROR(VLOOKUP(B77,'QB Consolidated Contacts'!$A$1:$F$333,6),"-")</f>
        <v>0</v>
      </c>
      <c r="D77" s="210"/>
      <c r="E77" s="272" t="s">
        <v>42</v>
      </c>
      <c r="F77" s="221" t="s">
        <v>66</v>
      </c>
      <c r="G77" s="221" t="s">
        <v>44</v>
      </c>
      <c r="H77" s="313">
        <v>45821</v>
      </c>
      <c r="I77" s="237" t="s">
        <v>187</v>
      </c>
      <c r="J77" s="299" t="s">
        <v>39</v>
      </c>
      <c r="K77" s="276" t="s">
        <v>39</v>
      </c>
      <c r="L77" s="276"/>
      <c r="M77" s="275"/>
      <c r="N77" s="271">
        <f>IFERROR(EDATE(L77,M77),"")</f>
        <v>0</v>
      </c>
      <c r="O77" s="274">
        <f ca="1">IFERROR(N77-TODAY(),"")</f>
        <v>-46093</v>
      </c>
      <c r="P77" s="272"/>
      <c r="Q77" s="273"/>
      <c r="R77" s="273"/>
      <c r="S77" s="274"/>
      <c r="T77" s="57"/>
      <c r="U77" s="57"/>
      <c r="V77" s="279"/>
      <c r="W77" s="52"/>
      <c r="X77" s="311"/>
      <c r="Y77" s="312"/>
      <c r="Z77" s="94"/>
      <c r="AA77" s="94"/>
      <c r="AK77" s="92" t="str">
        <f ca="1">IF(AGREEMENTS[[#This Row],[Days to Contract End]]&lt;=90,"R",IF(AND(AGREEMENTS[[#This Row],[Days to Contract End]]&lt;180),"A","G"))</f>
        <v>R</v>
      </c>
      <c r="AL77" s="235"/>
      <c r="AM77" s="325"/>
      <c r="AN77" s="72"/>
      <c r="AO77" s="51"/>
      <c r="AP77" s="52"/>
      <c r="AQ77" s="52"/>
    </row>
    <row r="78" spans="2:43">
      <c r="B78" s="155" t="s">
        <v>188</v>
      </c>
      <c r="C78" s="91">
        <f>IFERROR(VLOOKUP(B78,'QB Consolidated Contacts'!$A$1:$F$333,6),"-")</f>
        <v>0</v>
      </c>
      <c r="E78" s="275" t="s">
        <v>42</v>
      </c>
      <c r="F78" s="221" t="s">
        <v>66</v>
      </c>
      <c r="G78" s="221" t="s">
        <v>44</v>
      </c>
      <c r="H78" s="294"/>
      <c r="I78" s="258" t="s">
        <v>125</v>
      </c>
      <c r="J78" s="276" t="s">
        <v>39</v>
      </c>
      <c r="K78" s="276"/>
      <c r="L78" s="93">
        <v>44825</v>
      </c>
      <c r="M78" s="92" t="s">
        <v>46</v>
      </c>
      <c r="N78" s="93" t="str">
        <f>IFERROR(EDATE(L78,M78),"")</f>
        <v/>
      </c>
      <c r="O78" s="92" t="str">
        <f ca="1">IFERROR(N78-TODAY(),"")</f>
        <v/>
      </c>
      <c r="P78" s="92" t="s">
        <v>40</v>
      </c>
      <c r="R78" s="52"/>
      <c r="S78" s="52"/>
      <c r="T78" s="52"/>
      <c r="U78" s="52"/>
      <c r="V78" s="52"/>
      <c r="W78" s="52"/>
      <c r="X78" s="94"/>
      <c r="Y78" s="94"/>
      <c r="Z78" s="94"/>
      <c r="AA78" s="94"/>
      <c r="AK78" s="92" t="str">
        <f ca="1">IF(AGREEMENTS[[#This Row],[Days to Contract End]]&lt;=90,"R",IF(AND(AGREEMENTS[[#This Row],[Days to Contract End]]&lt;180),"A","G"))</f>
        <v>G</v>
      </c>
      <c r="AL78" s="235"/>
      <c r="AM78" s="325"/>
      <c r="AN78" s="72"/>
      <c r="AO78" s="51"/>
      <c r="AP78" s="52"/>
      <c r="AQ78" s="52"/>
    </row>
    <row r="79" spans="2:43">
      <c r="B79" s="155" t="s">
        <v>189</v>
      </c>
      <c r="C79" s="91">
        <f>IFERROR(VLOOKUP(B79,'QB Consolidated Contacts'!$A$1:$F$333,6),"-")</f>
        <v>0</v>
      </c>
      <c r="E79" s="275" t="s">
        <v>51</v>
      </c>
      <c r="F79" s="221"/>
      <c r="G79" s="221" t="s">
        <v>108</v>
      </c>
      <c r="H79" s="294"/>
      <c r="I79" s="259"/>
      <c r="J79" s="276" t="s">
        <v>40</v>
      </c>
      <c r="K79" s="276"/>
      <c r="L79" s="93"/>
      <c r="M79" s="92"/>
      <c r="N79" s="93">
        <f>IFERROR(EDATE(L79,M79),"")</f>
        <v>0</v>
      </c>
      <c r="O79" s="92">
        <f ca="1">IFERROR(N79-TODAY(),"")</f>
        <v>-46093</v>
      </c>
      <c r="P79" s="92"/>
      <c r="R79" s="52"/>
      <c r="S79" s="52"/>
      <c r="T79" s="52"/>
      <c r="U79" s="52"/>
      <c r="V79" s="52"/>
      <c r="W79" s="52"/>
      <c r="X79" s="94"/>
      <c r="Y79" s="94"/>
      <c r="Z79" s="94"/>
      <c r="AA79" s="94"/>
      <c r="AK79" s="92" t="str">
        <f ca="1">IF(AGREEMENTS[[#This Row],[Days to Contract End]]&lt;=90,"R",IF(AND(AGREEMENTS[[#This Row],[Days to Contract End]]&lt;180),"A","G"))</f>
        <v>R</v>
      </c>
      <c r="AL79" s="235"/>
      <c r="AM79" s="325"/>
      <c r="AN79" s="72"/>
      <c r="AO79" s="51"/>
      <c r="AP79" s="52"/>
      <c r="AQ79" s="52"/>
    </row>
    <row r="80" spans="2:43">
      <c r="B80" s="287" t="s">
        <v>236</v>
      </c>
      <c r="C80" s="278">
        <f>IFERROR(VLOOKUP(B80,'QB Consolidated Contacts'!$A$1:$F$333,6),"-")</f>
        <v>0</v>
      </c>
      <c r="D80" s="210"/>
      <c r="E80" s="272" t="s">
        <v>42</v>
      </c>
      <c r="F80" s="221" t="s">
        <v>43</v>
      </c>
      <c r="G80" s="221"/>
      <c r="H80" s="314"/>
      <c r="I80" s="310"/>
      <c r="J80" s="299"/>
      <c r="K80" s="276"/>
      <c r="L80" s="276"/>
      <c r="M80" s="275"/>
      <c r="N80" s="271">
        <f>IFERROR(EDATE(L80,M80),"")</f>
        <v>0</v>
      </c>
      <c r="O80" s="274">
        <f ca="1">IFERROR(N80-TODAY(),"")</f>
        <v>-46093</v>
      </c>
      <c r="P80" s="272"/>
      <c r="Q80" s="273"/>
      <c r="R80" s="273"/>
      <c r="S80" s="274"/>
      <c r="T80" s="57"/>
      <c r="U80" s="57"/>
      <c r="V80" s="279"/>
      <c r="W80" s="52"/>
      <c r="X80" s="311"/>
      <c r="Y80" s="312"/>
      <c r="Z80" s="94"/>
      <c r="AA80" s="94"/>
      <c r="AK80" s="92" t="str">
        <f ca="1">IF(AGREEMENTS[[#This Row],[Days to Contract End]]&lt;=90,"R",IF(AND(AGREEMENTS[[#This Row],[Days to Contract End]]&lt;180),"A","G"))</f>
        <v>R</v>
      </c>
      <c r="AL80" s="235"/>
      <c r="AM80" s="329"/>
      <c r="AN80" s="72"/>
      <c r="AO80" s="51"/>
      <c r="AP80" s="52"/>
      <c r="AQ80" s="52"/>
    </row>
    <row r="81" spans="2:43" ht="45">
      <c r="B81" s="155" t="s">
        <v>190</v>
      </c>
      <c r="C81" s="91">
        <f>IFERROR(VLOOKUP(B81,'QB Consolidated Contacts'!$A$1:$F$333,6),"-")</f>
        <v>0</v>
      </c>
      <c r="E81" s="275" t="s">
        <v>42</v>
      </c>
      <c r="F81" s="221" t="s">
        <v>43</v>
      </c>
      <c r="G81" s="221" t="s">
        <v>44</v>
      </c>
      <c r="H81" s="294"/>
      <c r="I81" s="294" t="s">
        <v>191</v>
      </c>
      <c r="J81" s="276" t="s">
        <v>40</v>
      </c>
      <c r="K81" s="276"/>
      <c r="L81" s="93"/>
      <c r="M81" s="92"/>
      <c r="N81" s="93">
        <f>IFERROR(EDATE(L81,M81),"")</f>
        <v>0</v>
      </c>
      <c r="O81" s="92">
        <f ca="1">IFERROR(N81-TODAY(),"")</f>
        <v>-46093</v>
      </c>
      <c r="P81" s="92"/>
      <c r="R81" s="52"/>
      <c r="S81" s="52"/>
      <c r="T81" s="52"/>
      <c r="U81" s="52"/>
      <c r="V81" s="52"/>
      <c r="W81" s="52"/>
      <c r="X81" s="94"/>
      <c r="Y81" s="94"/>
      <c r="Z81" s="94"/>
      <c r="AA81" s="94"/>
      <c r="AK81" s="92" t="str">
        <f ca="1">IF(AGREEMENTS[[#This Row],[Days to Contract End]]&lt;=90,"R",IF(AND(AGREEMENTS[[#This Row],[Days to Contract End]]&lt;180),"A","G"))</f>
        <v>R</v>
      </c>
      <c r="AL81" s="235"/>
      <c r="AM81" s="325"/>
      <c r="AN81" s="72"/>
      <c r="AO81" s="51"/>
      <c r="AP81" s="52"/>
      <c r="AQ81" s="52"/>
    </row>
    <row r="82" spans="2:43">
      <c r="B82" s="155" t="s">
        <v>192</v>
      </c>
      <c r="C82" s="91">
        <f>IFERROR(VLOOKUP(B82,'QB Consolidated Contacts'!$A$1:$F$333,6),"-")</f>
        <v>0</v>
      </c>
      <c r="E82" s="275"/>
      <c r="F82" s="221"/>
      <c r="G82" s="221" t="s">
        <v>108</v>
      </c>
      <c r="H82" s="294"/>
      <c r="I82" s="294" t="s">
        <v>193</v>
      </c>
      <c r="J82" s="276" t="s">
        <v>40</v>
      </c>
      <c r="K82" s="276"/>
      <c r="L82" s="93"/>
      <c r="M82" s="92"/>
      <c r="N82" s="93">
        <f>IFERROR(EDATE(L82,M82),"")</f>
        <v>0</v>
      </c>
      <c r="O82" s="92">
        <f ca="1">IFERROR(N82-TODAY(),"")</f>
        <v>-46093</v>
      </c>
      <c r="P82" s="92"/>
      <c r="R82" s="52" t="s">
        <v>48</v>
      </c>
      <c r="S82" s="52" t="s">
        <v>48</v>
      </c>
      <c r="T82" s="52"/>
      <c r="U82" s="52"/>
      <c r="V82" s="52" t="s">
        <v>48</v>
      </c>
      <c r="W82" s="52"/>
      <c r="X82" s="94" t="s">
        <v>48</v>
      </c>
      <c r="Y82" s="94" t="s">
        <v>48</v>
      </c>
      <c r="Z82" s="94"/>
      <c r="AA82" s="94"/>
      <c r="AJ82" s="94" t="s">
        <v>48</v>
      </c>
      <c r="AK82" s="92" t="str">
        <f ca="1">IF(AGREEMENTS[[#This Row],[Days to Contract End]]&lt;=90,"R",IF(AND(AGREEMENTS[[#This Row],[Days to Contract End]]&lt;180),"A","G"))</f>
        <v>R</v>
      </c>
      <c r="AL82" s="235" t="s">
        <v>194</v>
      </c>
      <c r="AM82" s="325"/>
      <c r="AN82" s="72"/>
      <c r="AO82" s="51"/>
      <c r="AP82" s="52"/>
      <c r="AQ82" s="52"/>
    </row>
    <row r="83" spans="2:43">
      <c r="B83" s="155" t="s">
        <v>195</v>
      </c>
      <c r="C83" s="91">
        <f>IFERROR(VLOOKUP(B83,'QB Consolidated Contacts'!$A$1:$F$333,6),"-")</f>
        <v>0</v>
      </c>
      <c r="E83" s="275" t="s">
        <v>42</v>
      </c>
      <c r="F83" s="221" t="s">
        <v>43</v>
      </c>
      <c r="G83" s="221" t="s">
        <v>44</v>
      </c>
      <c r="H83" s="302">
        <v>44994</v>
      </c>
      <c r="I83" s="254" t="s">
        <v>196</v>
      </c>
      <c r="J83" s="276" t="s">
        <v>39</v>
      </c>
      <c r="K83" s="276"/>
      <c r="L83" s="93">
        <v>44973</v>
      </c>
      <c r="M83" s="92" t="s">
        <v>46</v>
      </c>
      <c r="N83" s="93" t="str">
        <f>IFERROR(EDATE(L83,M83),"")</f>
        <v/>
      </c>
      <c r="O83" s="92" t="str">
        <f ca="1">IFERROR(N83-TODAY(),"")</f>
        <v/>
      </c>
      <c r="P83" s="92"/>
      <c r="R83" s="52"/>
      <c r="S83" s="52"/>
      <c r="T83" s="52"/>
      <c r="U83" s="52"/>
      <c r="V83" s="52"/>
      <c r="W83" s="52"/>
      <c r="X83" s="94"/>
      <c r="Y83" s="94"/>
      <c r="Z83" s="94"/>
      <c r="AA83" s="94"/>
      <c r="AK83" s="92" t="str">
        <f ca="1">IF(AGREEMENTS[[#This Row],[Days to Contract End]]&lt;=90,"R",IF(AND(AGREEMENTS[[#This Row],[Days to Contract End]]&lt;180),"A","G"))</f>
        <v>G</v>
      </c>
      <c r="AL83" s="235"/>
      <c r="AM83" s="325"/>
      <c r="AN83" s="72"/>
      <c r="AO83" s="51"/>
      <c r="AP83" s="52"/>
      <c r="AQ83" s="52"/>
    </row>
    <row r="84" spans="2:43">
      <c r="B84" s="155" t="s">
        <v>195</v>
      </c>
      <c r="C84" s="91">
        <f>IFERROR(VLOOKUP(B84,'QB Consolidated Contacts'!$A$1:$F$333,6),"-")</f>
        <v>0</v>
      </c>
      <c r="E84" s="275" t="s">
        <v>42</v>
      </c>
      <c r="F84" s="221" t="s">
        <v>66</v>
      </c>
      <c r="G84" s="221" t="s">
        <v>44</v>
      </c>
      <c r="H84" s="294"/>
      <c r="I84" s="257" t="s">
        <v>197</v>
      </c>
      <c r="J84" s="276" t="s">
        <v>40</v>
      </c>
      <c r="K84" s="276"/>
      <c r="L84" s="93">
        <v>44935</v>
      </c>
      <c r="M84" s="92" t="s">
        <v>144</v>
      </c>
      <c r="N84" s="93" t="str">
        <f>IFERROR(EDATE(L84,M84),"")</f>
        <v/>
      </c>
      <c r="O84" s="92" t="str">
        <f ca="1">IFERROR(N84-TODAY(),"")</f>
        <v/>
      </c>
      <c r="P84" s="92"/>
      <c r="R84" s="52"/>
      <c r="S84" s="52"/>
      <c r="T84" s="52"/>
      <c r="U84" s="52"/>
      <c r="V84" s="52"/>
      <c r="W84" s="52"/>
      <c r="X84" s="94"/>
      <c r="Y84" s="94"/>
      <c r="Z84" s="94"/>
      <c r="AA84" s="94"/>
      <c r="AK84" s="92" t="str">
        <f ca="1">IF(AGREEMENTS[[#This Row],[Days to Contract End]]&lt;=90,"R",IF(AND(AGREEMENTS[[#This Row],[Days to Contract End]]&lt;180),"A","G"))</f>
        <v>G</v>
      </c>
      <c r="AL84" s="235"/>
      <c r="AM84" s="325"/>
      <c r="AN84" s="72"/>
      <c r="AO84" s="51"/>
      <c r="AP84" s="52"/>
      <c r="AQ84" s="52"/>
    </row>
    <row r="85" spans="2:43">
      <c r="B85" s="155" t="s">
        <v>198</v>
      </c>
      <c r="C85" s="91">
        <f>IFERROR(VLOOKUP(B85,'QB Consolidated Contacts'!$A$1:$F$333,6),"-")</f>
        <v>0</v>
      </c>
      <c r="E85" s="275"/>
      <c r="F85" s="221" t="s">
        <v>66</v>
      </c>
      <c r="G85" s="221" t="s">
        <v>44</v>
      </c>
      <c r="H85" s="294"/>
      <c r="I85" s="257" t="s">
        <v>78</v>
      </c>
      <c r="J85" s="276" t="s">
        <v>39</v>
      </c>
      <c r="K85" s="276"/>
      <c r="L85" s="93">
        <v>43431</v>
      </c>
      <c r="M85" s="92" t="s">
        <v>46</v>
      </c>
      <c r="N85" s="93" t="str">
        <f>IFERROR(EDATE(L85,M85),"")</f>
        <v/>
      </c>
      <c r="O85" s="92" t="str">
        <f ca="1">IFERROR(N85-TODAY(),"")</f>
        <v/>
      </c>
      <c r="P85" s="92"/>
      <c r="R85" s="52"/>
      <c r="S85" s="52"/>
      <c r="T85" s="52"/>
      <c r="U85" s="52"/>
      <c r="V85" s="52"/>
      <c r="W85" s="52"/>
      <c r="X85" s="94"/>
      <c r="Y85" s="94"/>
      <c r="Z85" s="94"/>
      <c r="AA85" s="94"/>
      <c r="AK85" s="92" t="str">
        <f ca="1">IF(AGREEMENTS[[#This Row],[Days to Contract End]]&lt;=90,"R",IF(AND(AGREEMENTS[[#This Row],[Days to Contract End]]&lt;180),"A","G"))</f>
        <v>G</v>
      </c>
      <c r="AL85" s="235"/>
      <c r="AM85" s="325"/>
      <c r="AN85" s="72"/>
      <c r="AO85" s="51"/>
      <c r="AP85" s="52"/>
      <c r="AQ85" s="52"/>
    </row>
    <row r="86" spans="2:43" ht="30">
      <c r="B86" s="155" t="s">
        <v>198</v>
      </c>
      <c r="C86" s="91">
        <f>IFERROR(VLOOKUP(B86,'QB Consolidated Contacts'!$A$1:$F$333,6),"-")</f>
        <v>0</v>
      </c>
      <c r="E86" s="275" t="s">
        <v>42</v>
      </c>
      <c r="F86" s="221" t="s">
        <v>43</v>
      </c>
      <c r="G86" s="221" t="s">
        <v>44</v>
      </c>
      <c r="H86" s="294"/>
      <c r="I86" s="257" t="s">
        <v>45</v>
      </c>
      <c r="J86" s="276" t="s">
        <v>39</v>
      </c>
      <c r="K86" s="276"/>
      <c r="L86" s="93">
        <v>43435</v>
      </c>
      <c r="M86" s="92" t="s">
        <v>46</v>
      </c>
      <c r="N86" s="93" t="str">
        <f>IFERROR(EDATE(L86,M86),"")</f>
        <v/>
      </c>
      <c r="O86" s="92" t="str">
        <f ca="1">IFERROR(N86-TODAY(),"")</f>
        <v/>
      </c>
      <c r="P86" s="92"/>
      <c r="R86" s="52"/>
      <c r="S86" s="52"/>
      <c r="T86" s="52"/>
      <c r="U86" s="52"/>
      <c r="V86" s="52"/>
      <c r="W86" s="52"/>
      <c r="X86" s="94"/>
      <c r="Y86" s="94"/>
      <c r="Z86" s="94"/>
      <c r="AA86" s="94"/>
      <c r="AK86" s="92" t="str">
        <f ca="1">IF(AGREEMENTS[[#This Row],[Days to Contract End]]&lt;=90,"R",IF(AND(AGREEMENTS[[#This Row],[Days to Contract End]]&lt;180),"A","G"))</f>
        <v>G</v>
      </c>
      <c r="AL86" s="235"/>
      <c r="AM86" s="325"/>
      <c r="AN86" s="72"/>
      <c r="AO86" s="51"/>
      <c r="AP86" s="52"/>
      <c r="AQ86" s="52"/>
    </row>
    <row r="87" spans="2:43" ht="30">
      <c r="B87" s="155" t="s">
        <v>199</v>
      </c>
      <c r="C87" s="91">
        <f>IFERROR(VLOOKUP(B87,'QB Consolidated Contacts'!$A$1:$F$333,6),"-")</f>
        <v>0</v>
      </c>
      <c r="E87" s="275"/>
      <c r="F87" s="289"/>
      <c r="G87" s="221" t="s">
        <v>175</v>
      </c>
      <c r="H87" s="294"/>
      <c r="I87" s="259" t="s">
        <v>200</v>
      </c>
      <c r="J87" s="276"/>
      <c r="K87" s="276"/>
      <c r="L87" s="93"/>
      <c r="M87" s="92"/>
      <c r="N87" s="93">
        <f>IFERROR(EDATE(L87,M87),"")</f>
        <v>0</v>
      </c>
      <c r="O87" s="92">
        <f ca="1">IFERROR(N87-TODAY(),"")</f>
        <v>-46093</v>
      </c>
      <c r="P87" s="92"/>
      <c r="R87" s="52"/>
      <c r="S87" s="52"/>
      <c r="T87" s="52"/>
      <c r="U87" s="52"/>
      <c r="V87" s="52"/>
      <c r="W87" s="52"/>
      <c r="X87" s="94"/>
      <c r="Y87" s="94"/>
      <c r="Z87" s="94"/>
      <c r="AA87" s="94"/>
      <c r="AK87" s="92" t="str">
        <f ca="1">IF(AGREEMENTS[[#This Row],[Days to Contract End]]&lt;=90,"R",IF(AND(AGREEMENTS[[#This Row],[Days to Contract End]]&lt;180),"A","G"))</f>
        <v>R</v>
      </c>
      <c r="AL87" s="235"/>
      <c r="AM87" s="325"/>
      <c r="AN87" s="72"/>
      <c r="AO87" s="51"/>
      <c r="AP87" s="52"/>
      <c r="AQ87" s="52"/>
    </row>
    <row r="88" spans="2:43" ht="45">
      <c r="B88" s="155" t="s">
        <v>199</v>
      </c>
      <c r="C88" s="91">
        <f>IFERROR(VLOOKUP(B88,'QB Consolidated Contacts'!$A$1:$F$333,6),"-")</f>
        <v>0</v>
      </c>
      <c r="E88" s="275"/>
      <c r="F88" s="289"/>
      <c r="G88" s="221" t="s">
        <v>175</v>
      </c>
      <c r="H88" s="294"/>
      <c r="I88" s="259" t="s">
        <v>201</v>
      </c>
      <c r="J88" s="276"/>
      <c r="K88" s="276"/>
      <c r="L88" s="93"/>
      <c r="M88" s="92"/>
      <c r="N88" s="93">
        <f>IFERROR(EDATE(L88,M88),"")</f>
        <v>0</v>
      </c>
      <c r="O88" s="92">
        <f ca="1">IFERROR(N88-TODAY(),"")</f>
        <v>-46093</v>
      </c>
      <c r="P88" s="92"/>
      <c r="R88" s="52"/>
      <c r="S88" s="52"/>
      <c r="T88" s="52"/>
      <c r="U88" s="52"/>
      <c r="V88" s="52"/>
      <c r="W88" s="52"/>
      <c r="X88" s="94"/>
      <c r="Y88" s="94"/>
      <c r="Z88" s="94"/>
      <c r="AA88" s="94"/>
      <c r="AK88" s="92" t="str">
        <f ca="1">IF(AGREEMENTS[[#This Row],[Days to Contract End]]&lt;=90,"R",IF(AND(AGREEMENTS[[#This Row],[Days to Contract End]]&lt;180),"A","G"))</f>
        <v>R</v>
      </c>
      <c r="AL88" s="235"/>
      <c r="AM88" s="325"/>
      <c r="AN88" s="72"/>
      <c r="AO88" s="51"/>
      <c r="AP88" s="52"/>
      <c r="AQ88" s="52"/>
    </row>
    <row r="89" spans="2:43">
      <c r="B89" s="155" t="s">
        <v>202</v>
      </c>
      <c r="C89" s="91">
        <f>IFERROR(VLOOKUP(B89,'QB Consolidated Contacts'!$A$1:$F$333,6),"-")</f>
        <v>0</v>
      </c>
      <c r="E89" s="275" t="s">
        <v>42</v>
      </c>
      <c r="F89" s="221" t="s">
        <v>169</v>
      </c>
      <c r="G89" s="221" t="s">
        <v>44</v>
      </c>
      <c r="H89" s="294"/>
      <c r="I89" s="257" t="s">
        <v>169</v>
      </c>
      <c r="J89" s="276" t="s">
        <v>39</v>
      </c>
      <c r="K89" s="276" t="s">
        <v>39</v>
      </c>
      <c r="L89" s="93">
        <v>44986</v>
      </c>
      <c r="M89" s="92">
        <v>9</v>
      </c>
      <c r="N89" s="93">
        <f>IFERROR(EOMONTH(L89,M89),"")</f>
        <v>45291</v>
      </c>
      <c r="O89" s="92">
        <f ca="1">IFERROR(N89-TODAY(),"")</f>
        <v>-802</v>
      </c>
      <c r="P89" s="92" t="s">
        <v>39</v>
      </c>
      <c r="R89" s="52"/>
      <c r="S89" s="52"/>
      <c r="T89" s="52"/>
      <c r="U89" s="52"/>
      <c r="V89" s="52"/>
      <c r="W89" s="52"/>
      <c r="X89" s="94"/>
      <c r="Y89" s="94"/>
      <c r="Z89" s="94"/>
      <c r="AA89" s="94"/>
      <c r="AK89" s="92" t="str">
        <f ca="1">IF(AGREEMENTS[[#This Row],[Days to Contract End]]&lt;=90,"R",IF(AND(AGREEMENTS[[#This Row],[Days to Contract End]]&lt;180),"A","G"))</f>
        <v>R</v>
      </c>
      <c r="AL89" s="235"/>
      <c r="AM89" s="325"/>
      <c r="AN89" s="72"/>
      <c r="AO89" s="51"/>
      <c r="AP89" s="52"/>
      <c r="AQ89" s="52"/>
    </row>
    <row r="90" spans="2:43">
      <c r="B90" s="155" t="s">
        <v>203</v>
      </c>
      <c r="C90" s="91">
        <f>IFERROR(VLOOKUP(B90,'QB Consolidated Contacts'!$A$1:$F$333,6),"-")</f>
        <v>0</v>
      </c>
      <c r="E90" s="275" t="s">
        <v>42</v>
      </c>
      <c r="F90" s="221" t="s">
        <v>66</v>
      </c>
      <c r="G90" s="221" t="s">
        <v>44</v>
      </c>
      <c r="H90" s="294"/>
      <c r="I90" s="258" t="s">
        <v>78</v>
      </c>
      <c r="J90" s="276" t="s">
        <v>39</v>
      </c>
      <c r="K90" s="276"/>
      <c r="L90" s="93">
        <v>44966</v>
      </c>
      <c r="M90" s="92"/>
      <c r="N90" s="93">
        <f>IFERROR(EDATE(L90,M90),"")</f>
        <v>44966</v>
      </c>
      <c r="O90" s="92">
        <f ca="1">IFERROR(N90-TODAY(),"")</f>
        <v>-1127</v>
      </c>
      <c r="P90" s="92"/>
      <c r="R90" s="52"/>
      <c r="S90" s="52"/>
      <c r="T90" s="52"/>
      <c r="U90" s="52"/>
      <c r="V90" s="52"/>
      <c r="W90" s="52"/>
      <c r="X90" s="94"/>
      <c r="Y90" s="94"/>
      <c r="Z90" s="94"/>
      <c r="AA90" s="94"/>
      <c r="AK90" s="92" t="str">
        <f ca="1">IF(AGREEMENTS[[#This Row],[Days to Contract End]]&lt;=90,"R",IF(AND(AGREEMENTS[[#This Row],[Days to Contract End]]&lt;180),"A","G"))</f>
        <v>R</v>
      </c>
      <c r="AL90" s="235"/>
      <c r="AM90" s="325"/>
      <c r="AN90" s="72"/>
      <c r="AO90" s="51"/>
      <c r="AP90" s="52"/>
      <c r="AQ90" s="52"/>
    </row>
    <row r="91" spans="2:43">
      <c r="B91" s="155" t="s">
        <v>204</v>
      </c>
      <c r="C91" s="91">
        <f>IFERROR(VLOOKUP(B91,'QB Consolidated Contacts'!$A$1:$F$333,6),"-")</f>
        <v>0</v>
      </c>
      <c r="E91" s="275" t="s">
        <v>51</v>
      </c>
      <c r="F91" s="221" t="s">
        <v>43</v>
      </c>
      <c r="G91" s="221" t="s">
        <v>44</v>
      </c>
      <c r="H91" s="294"/>
      <c r="I91" s="258" t="s">
        <v>45</v>
      </c>
      <c r="J91" s="276" t="s">
        <v>39</v>
      </c>
      <c r="K91" s="276"/>
      <c r="L91" s="93">
        <v>44866</v>
      </c>
      <c r="M91" s="92" t="s">
        <v>46</v>
      </c>
      <c r="N91" s="93" t="str">
        <f>IFERROR(EDATE(L91,M91),"")</f>
        <v/>
      </c>
      <c r="O91" s="92" t="str">
        <f ca="1">IFERROR(N91-TODAY(),"")</f>
        <v/>
      </c>
      <c r="P91" s="92" t="s">
        <v>39</v>
      </c>
      <c r="R91" s="52"/>
      <c r="S91" s="52"/>
      <c r="T91" s="52"/>
      <c r="U91" s="52"/>
      <c r="V91" s="52"/>
      <c r="W91" s="52"/>
      <c r="X91" s="94"/>
      <c r="Y91" s="94"/>
      <c r="Z91" s="94"/>
      <c r="AA91" s="94"/>
      <c r="AK91" s="92" t="str">
        <f ca="1">IF(AGREEMENTS[[#This Row],[Days to Contract End]]&lt;=90,"R",IF(AND(AGREEMENTS[[#This Row],[Days to Contract End]]&lt;180),"A","G"))</f>
        <v>G</v>
      </c>
      <c r="AL91" s="235"/>
      <c r="AM91" s="325"/>
      <c r="AN91" s="72"/>
      <c r="AO91" s="51"/>
      <c r="AP91" s="52"/>
      <c r="AQ91" s="52"/>
    </row>
    <row r="92" spans="2:43" ht="30">
      <c r="B92" s="155" t="s">
        <v>204</v>
      </c>
      <c r="C92" s="91">
        <f>IFERROR(VLOOKUP(B92,'QB Consolidated Contacts'!$A$1:$F$333,6),"-")</f>
        <v>0</v>
      </c>
      <c r="E92" s="272" t="s">
        <v>51</v>
      </c>
      <c r="F92" s="221" t="s">
        <v>66</v>
      </c>
      <c r="G92" s="221" t="s">
        <v>44</v>
      </c>
      <c r="H92" s="294"/>
      <c r="I92" s="259" t="s">
        <v>78</v>
      </c>
      <c r="J92" s="276" t="s">
        <v>39</v>
      </c>
      <c r="K92" s="276"/>
      <c r="L92" s="93">
        <v>44867</v>
      </c>
      <c r="M92" s="92">
        <v>24</v>
      </c>
      <c r="N92" s="93">
        <f>IFERROR(EDATE(L92,M92),"")</f>
        <v>45598</v>
      </c>
      <c r="O92" s="92">
        <f ca="1">IFERROR(N92-TODAY(),"")</f>
        <v>-495</v>
      </c>
      <c r="P92" s="92"/>
      <c r="R92" s="52"/>
      <c r="S92" s="52"/>
      <c r="T92" s="52"/>
      <c r="U92" s="52"/>
      <c r="V92" s="52"/>
      <c r="W92" s="52"/>
      <c r="X92" s="94"/>
      <c r="Y92" s="94"/>
      <c r="Z92" s="94"/>
      <c r="AA92" s="94"/>
      <c r="AK92" s="92" t="str">
        <f ca="1">IF(AGREEMENTS[[#This Row],[Days to Contract End]]&lt;=90,"R",IF(AND(AGREEMENTS[[#This Row],[Days to Contract End]]&lt;180),"A","G"))</f>
        <v>R</v>
      </c>
      <c r="AL92" s="235"/>
      <c r="AM92" s="325"/>
      <c r="AN92" s="72"/>
      <c r="AO92" s="51"/>
      <c r="AP92" s="52"/>
      <c r="AQ92" s="52"/>
    </row>
    <row r="93" spans="2:43" ht="45">
      <c r="B93" s="155" t="s">
        <v>205</v>
      </c>
      <c r="C93" s="206">
        <f>IFERROR(VLOOKUP(B93,'QB Consolidated Contacts'!$A$1:$F$333,6),"-")</f>
        <v>0</v>
      </c>
      <c r="D93" s="272"/>
      <c r="E93" s="272" t="s">
        <v>42</v>
      </c>
      <c r="F93" s="221" t="s">
        <v>43</v>
      </c>
      <c r="G93" s="221" t="s">
        <v>44</v>
      </c>
      <c r="H93" s="305"/>
      <c r="I93" s="293" t="s">
        <v>206</v>
      </c>
      <c r="J93" s="276" t="s">
        <v>39</v>
      </c>
      <c r="K93" s="276" t="s">
        <v>39</v>
      </c>
      <c r="L93" s="93">
        <v>45748</v>
      </c>
      <c r="M93" s="92"/>
      <c r="N93" s="93">
        <f>IFERROR(EDATE(L93,M93),"")</f>
        <v>45748</v>
      </c>
      <c r="O93" s="92">
        <f ca="1">IFERROR(N93-TODAY(),"")</f>
        <v>-345</v>
      </c>
      <c r="P93" s="92"/>
      <c r="R93" s="52"/>
      <c r="S93" s="52"/>
      <c r="T93" s="52"/>
      <c r="U93" s="52"/>
      <c r="V93" s="52"/>
      <c r="W93" s="52"/>
      <c r="X93" s="94"/>
      <c r="Y93" s="94"/>
      <c r="Z93" s="94"/>
      <c r="AA93" s="94"/>
      <c r="AK93" s="92" t="str">
        <f ca="1">IF(AGREEMENTS[[#This Row],[Days to Contract End]]&lt;=90,"R",IF(AND(AGREEMENTS[[#This Row],[Days to Contract End]]&lt;180),"A","G"))</f>
        <v>R</v>
      </c>
      <c r="AL93" s="235"/>
      <c r="AM93" s="325"/>
      <c r="AN93" s="72"/>
      <c r="AO93" s="51"/>
      <c r="AP93" s="52"/>
      <c r="AQ93" s="52"/>
    </row>
    <row r="94" spans="2:43">
      <c r="B94" s="155" t="s">
        <v>205</v>
      </c>
      <c r="C94" s="206">
        <f>IFERROR(VLOOKUP(B94,'QB Consolidated Contacts'!$A$1:$F$333,6),"-")</f>
        <v>0</v>
      </c>
      <c r="D94" s="272"/>
      <c r="E94" s="272" t="s">
        <v>42</v>
      </c>
      <c r="F94" s="221" t="s">
        <v>207</v>
      </c>
      <c r="G94" s="221" t="s">
        <v>208</v>
      </c>
      <c r="H94" s="315">
        <v>45748</v>
      </c>
      <c r="I94" s="293" t="s">
        <v>209</v>
      </c>
      <c r="J94" s="276" t="s">
        <v>39</v>
      </c>
      <c r="K94" s="276" t="s">
        <v>39</v>
      </c>
      <c r="L94" s="93"/>
      <c r="M94" s="92"/>
      <c r="N94" s="93">
        <f>IFERROR(EDATE(L94,M94),"")</f>
        <v>0</v>
      </c>
      <c r="O94" s="92">
        <f ca="1">IFERROR(N94-TODAY(),"")</f>
        <v>-46093</v>
      </c>
      <c r="P94" s="92"/>
      <c r="R94" s="52"/>
      <c r="S94" s="52"/>
      <c r="T94" s="52"/>
      <c r="U94" s="52"/>
      <c r="V94" s="52"/>
      <c r="W94" s="52"/>
      <c r="X94" s="94"/>
      <c r="Y94" s="94"/>
      <c r="Z94" s="94"/>
      <c r="AA94" s="94"/>
      <c r="AK94" s="92" t="str">
        <f ca="1">IF(AGREEMENTS[[#This Row],[Days to Contract End]]&lt;=90,"R",IF(AND(AGREEMENTS[[#This Row],[Days to Contract End]]&lt;180),"A","G"))</f>
        <v>R</v>
      </c>
      <c r="AL94" s="235"/>
      <c r="AM94" s="325"/>
      <c r="AN94" s="72"/>
      <c r="AO94" s="51"/>
      <c r="AP94" s="52"/>
      <c r="AQ94" s="52"/>
    </row>
    <row r="95" spans="2:43">
      <c r="B95" s="155" t="s">
        <v>210</v>
      </c>
      <c r="C95" s="91">
        <f>IFERROR(VLOOKUP(B95,'QB Consolidated Contacts'!$A$1:$F$333,6),"-")</f>
        <v>0</v>
      </c>
      <c r="E95" s="275" t="s">
        <v>42</v>
      </c>
      <c r="F95" s="221" t="s">
        <v>66</v>
      </c>
      <c r="G95" s="221" t="s">
        <v>44</v>
      </c>
      <c r="H95" s="294"/>
      <c r="I95" s="258" t="s">
        <v>78</v>
      </c>
      <c r="J95" s="276" t="s">
        <v>39</v>
      </c>
      <c r="K95" s="276"/>
      <c r="L95" s="93">
        <v>43613</v>
      </c>
      <c r="M95" s="92" t="s">
        <v>46</v>
      </c>
      <c r="N95" s="93" t="str">
        <f>IFERROR(EDATE(L95,M95),"")</f>
        <v/>
      </c>
      <c r="O95" s="92" t="str">
        <f ca="1">IFERROR(N95-TODAY(),"")</f>
        <v/>
      </c>
      <c r="P95" s="92"/>
      <c r="R95" s="52"/>
      <c r="S95" s="52"/>
      <c r="T95" s="52"/>
      <c r="U95" s="52"/>
      <c r="V95" s="52"/>
      <c r="W95" s="52"/>
      <c r="X95" s="94"/>
      <c r="Y95" s="94"/>
      <c r="Z95" s="94"/>
      <c r="AA95" s="94"/>
      <c r="AK95" s="92" t="str">
        <f ca="1">IF(AGREEMENTS[[#This Row],[Days to Contract End]]&lt;=90,"R",IF(AND(AGREEMENTS[[#This Row],[Days to Contract End]]&lt;180),"A","G"))</f>
        <v>G</v>
      </c>
      <c r="AL95" s="235"/>
      <c r="AM95" s="325"/>
      <c r="AN95" s="52"/>
      <c r="AO95" s="72"/>
      <c r="AP95" s="51"/>
      <c r="AQ95" s="52"/>
    </row>
    <row r="96" spans="2:43">
      <c r="B96" s="155" t="s">
        <v>210</v>
      </c>
      <c r="C96" s="91">
        <f>IFERROR(VLOOKUP(B96,'QB Consolidated Contacts'!$A$1:$F$333,6),"-")</f>
        <v>0</v>
      </c>
      <c r="E96" s="275" t="s">
        <v>42</v>
      </c>
      <c r="F96" s="221" t="s">
        <v>43</v>
      </c>
      <c r="G96" s="221" t="s">
        <v>44</v>
      </c>
      <c r="H96" s="294"/>
      <c r="I96" s="258" t="s">
        <v>45</v>
      </c>
      <c r="J96" s="276" t="s">
        <v>40</v>
      </c>
      <c r="K96" s="276"/>
      <c r="L96" s="93"/>
      <c r="M96" s="92"/>
      <c r="N96" s="93">
        <f>IFERROR(EDATE(L96,M96),"")</f>
        <v>0</v>
      </c>
      <c r="O96" s="92">
        <f ca="1">IFERROR(N96-TODAY(),"")</f>
        <v>-46093</v>
      </c>
      <c r="P96" s="92"/>
      <c r="R96" s="52"/>
      <c r="S96" s="52"/>
      <c r="T96" s="52"/>
      <c r="U96" s="52"/>
      <c r="V96" s="52"/>
      <c r="W96" s="52"/>
      <c r="X96" s="94"/>
      <c r="Y96" s="94"/>
      <c r="Z96" s="94"/>
      <c r="AA96" s="94"/>
      <c r="AK96" s="92" t="str">
        <f ca="1">IF(AGREEMENTS[[#This Row],[Days to Contract End]]&lt;=90,"R",IF(AND(AGREEMENTS[[#This Row],[Days to Contract End]]&lt;180),"A","G"))</f>
        <v>R</v>
      </c>
      <c r="AL96" s="235"/>
      <c r="AM96" s="328"/>
      <c r="AN96" s="52"/>
      <c r="AO96" s="72"/>
      <c r="AP96" s="51"/>
      <c r="AQ96" s="52"/>
    </row>
    <row r="97" spans="2:45">
      <c r="B97" s="287" t="s">
        <v>211</v>
      </c>
      <c r="C97" s="278">
        <f>IFERROR(VLOOKUP(B97,'QB Consolidated Contacts'!$A$1:$F$333,6),"-")</f>
        <v>0</v>
      </c>
      <c r="D97" s="210"/>
      <c r="E97" s="272" t="s">
        <v>42</v>
      </c>
      <c r="F97" s="221" t="s">
        <v>66</v>
      </c>
      <c r="G97" s="221" t="s">
        <v>53</v>
      </c>
      <c r="H97" s="314"/>
      <c r="I97" s="150" t="s">
        <v>212</v>
      </c>
      <c r="J97" s="299" t="s">
        <v>39</v>
      </c>
      <c r="K97" s="276" t="s">
        <v>39</v>
      </c>
      <c r="L97" s="5">
        <v>45665</v>
      </c>
      <c r="M97" s="275">
        <v>24</v>
      </c>
      <c r="N97" s="271">
        <f>IFERROR(EDATE(L97,M97),"")</f>
        <v>46395</v>
      </c>
      <c r="O97" s="274">
        <f ca="1">IFERROR(N97-TODAY(),"")</f>
        <v>302</v>
      </c>
      <c r="P97" s="272"/>
      <c r="Q97" s="273"/>
      <c r="R97" s="273"/>
      <c r="S97" s="274"/>
      <c r="T97" s="57"/>
      <c r="U97" s="57"/>
      <c r="V97" s="279"/>
      <c r="W97" s="52"/>
      <c r="X97" s="311"/>
      <c r="Y97" s="312"/>
      <c r="Z97" s="94"/>
      <c r="AA97" s="94"/>
      <c r="AK97" s="92" t="str">
        <f ca="1">IF(AGREEMENTS[[#This Row],[Days to Contract End]]&lt;=90,"R",IF(AND(AGREEMENTS[[#This Row],[Days to Contract End]]&lt;180),"A","G"))</f>
        <v>G</v>
      </c>
      <c r="AL97" s="235"/>
      <c r="AM97" s="328"/>
      <c r="AN97" s="52"/>
      <c r="AO97" s="72"/>
      <c r="AP97" s="51"/>
      <c r="AQ97" s="52"/>
    </row>
    <row r="98" spans="2:45">
      <c r="B98" s="155" t="s">
        <v>213</v>
      </c>
      <c r="C98" s="206">
        <f>IFERROR(VLOOKUP(B98,'QB Consolidated Contacts'!$A$1:$F$333,6),"-")</f>
        <v>0</v>
      </c>
      <c r="D98" s="272"/>
      <c r="E98" s="272" t="s">
        <v>42</v>
      </c>
      <c r="F98" s="221" t="s">
        <v>43</v>
      </c>
      <c r="G98" s="221" t="s">
        <v>44</v>
      </c>
      <c r="H98" s="315">
        <v>45709</v>
      </c>
      <c r="I98" s="293" t="s">
        <v>214</v>
      </c>
      <c r="J98" s="276" t="s">
        <v>39</v>
      </c>
      <c r="K98" s="276" t="s">
        <v>39</v>
      </c>
      <c r="L98" s="93">
        <v>45694</v>
      </c>
      <c r="M98" s="92" t="s">
        <v>46</v>
      </c>
      <c r="N98" s="93" t="str">
        <f>IFERROR(EDATE(L98,M98),"")</f>
        <v/>
      </c>
      <c r="O98" s="92" t="str">
        <f ca="1">IFERROR(N98-TODAY(),"")</f>
        <v/>
      </c>
      <c r="P98" s="92"/>
      <c r="R98" s="52"/>
      <c r="S98" s="52"/>
      <c r="T98" s="52"/>
      <c r="U98" s="52"/>
      <c r="V98" s="52"/>
      <c r="W98" s="52"/>
      <c r="X98" s="94"/>
      <c r="Y98" s="94"/>
      <c r="Z98" s="94"/>
      <c r="AA98" s="94"/>
      <c r="AK98" s="92" t="str">
        <f ca="1">IF(AGREEMENTS[[#This Row],[Days to Contract End]]&lt;=90,"R",IF(AND(AGREEMENTS[[#This Row],[Days to Contract End]]&lt;180),"A","G"))</f>
        <v>G</v>
      </c>
      <c r="AL98" s="235"/>
      <c r="AM98" s="328"/>
      <c r="AN98" s="52"/>
      <c r="AO98" s="72"/>
      <c r="AP98" s="51"/>
      <c r="AQ98" s="52"/>
    </row>
    <row r="99" spans="2:45" ht="45">
      <c r="B99" s="155" t="s">
        <v>213</v>
      </c>
      <c r="C99" s="206">
        <f>IFERROR(VLOOKUP(B99,'QB Consolidated Contacts'!$A$1:$F$333,6),"-")</f>
        <v>0</v>
      </c>
      <c r="D99" s="272"/>
      <c r="E99" s="272" t="s">
        <v>42</v>
      </c>
      <c r="F99" s="221" t="s">
        <v>66</v>
      </c>
      <c r="G99" s="221" t="s">
        <v>44</v>
      </c>
      <c r="H99" s="315">
        <v>45709</v>
      </c>
      <c r="I99" s="293" t="s">
        <v>215</v>
      </c>
      <c r="J99" s="276" t="s">
        <v>39</v>
      </c>
      <c r="K99" s="276" t="s">
        <v>39</v>
      </c>
      <c r="L99" s="93">
        <v>45699</v>
      </c>
      <c r="M99" s="92">
        <v>60</v>
      </c>
      <c r="N99" s="93">
        <f>IFERROR(EDATE(L99,M99),"")</f>
        <v>47525</v>
      </c>
      <c r="O99" s="92">
        <f ca="1">IFERROR(N99-TODAY(),"")</f>
        <v>1432</v>
      </c>
      <c r="P99" s="92"/>
      <c r="R99" s="52"/>
      <c r="S99" s="52"/>
      <c r="T99" s="52"/>
      <c r="U99" s="52"/>
      <c r="V99" s="52"/>
      <c r="W99" s="52"/>
      <c r="X99" s="94"/>
      <c r="Y99" s="94"/>
      <c r="Z99" s="94"/>
      <c r="AA99" s="94"/>
      <c r="AK99" s="92" t="str">
        <f ca="1">IF(AGREEMENTS[[#This Row],[Days to Contract End]]&lt;=90,"R",IF(AND(AGREEMENTS[[#This Row],[Days to Contract End]]&lt;180),"A","G"))</f>
        <v>G</v>
      </c>
      <c r="AL99" s="235"/>
      <c r="AM99" s="328"/>
      <c r="AN99" s="52"/>
      <c r="AO99" s="72"/>
      <c r="AP99" s="51"/>
      <c r="AQ99" s="52"/>
    </row>
    <row r="100" spans="2:45">
      <c r="B100" s="155" t="s">
        <v>216</v>
      </c>
      <c r="C100" s="91">
        <f>IFERROR(VLOOKUP(B100,'QB Consolidated Contacts'!$A$1:$F$333,6),"-")</f>
        <v>0</v>
      </c>
      <c r="D100" s="206" t="s">
        <v>132</v>
      </c>
      <c r="E100" s="275" t="s">
        <v>51</v>
      </c>
      <c r="F100" s="221" t="s">
        <v>66</v>
      </c>
      <c r="G100" s="221" t="s">
        <v>44</v>
      </c>
      <c r="H100" s="294"/>
      <c r="I100" s="259" t="s">
        <v>217</v>
      </c>
      <c r="J100" s="276" t="s">
        <v>39</v>
      </c>
      <c r="K100" s="276" t="s">
        <v>39</v>
      </c>
      <c r="L100" s="93">
        <v>45080</v>
      </c>
      <c r="M100" s="92" t="s">
        <v>46</v>
      </c>
      <c r="N100" s="93" t="str">
        <f>IFERROR(EDATE(L100,M100),"")</f>
        <v/>
      </c>
      <c r="O100" s="92" t="str">
        <f ca="1">IFERROR(N100-TODAY(),"")</f>
        <v/>
      </c>
      <c r="P100" s="92"/>
      <c r="R100" s="52"/>
      <c r="S100" s="52"/>
      <c r="T100" s="52"/>
      <c r="U100" s="52"/>
      <c r="V100" s="52"/>
      <c r="W100" s="52"/>
      <c r="X100" s="94"/>
      <c r="Y100" s="94"/>
      <c r="Z100" s="94"/>
      <c r="AA100" s="94"/>
      <c r="AK100" s="92" t="str">
        <f ca="1">IF(AGREEMENTS[[#This Row],[Days to Contract End]]&lt;=90,"R",IF(AND(AGREEMENTS[[#This Row],[Days to Contract End]]&lt;180),"A","G"))</f>
        <v>G</v>
      </c>
      <c r="AL100" s="235"/>
      <c r="AM100" s="328"/>
      <c r="AN100" s="52"/>
      <c r="AO100" s="72"/>
      <c r="AP100" s="51"/>
      <c r="AQ100" s="52"/>
    </row>
    <row r="101" spans="2:45">
      <c r="B101" s="155" t="s">
        <v>218</v>
      </c>
      <c r="C101" s="91">
        <f>IFERROR(VLOOKUP(B101,'QB Consolidated Contacts'!$A$1:$F$333,6),"-")</f>
        <v>0</v>
      </c>
      <c r="E101" s="275" t="s">
        <v>42</v>
      </c>
      <c r="F101" s="221" t="s">
        <v>43</v>
      </c>
      <c r="G101" s="221" t="s">
        <v>44</v>
      </c>
      <c r="H101" s="294"/>
      <c r="I101" s="257" t="s">
        <v>219</v>
      </c>
      <c r="J101" s="276" t="s">
        <v>39</v>
      </c>
      <c r="K101" s="276" t="s">
        <v>39</v>
      </c>
      <c r="L101" s="93">
        <v>45261</v>
      </c>
      <c r="M101" s="92" t="s">
        <v>220</v>
      </c>
      <c r="N101" s="93" t="str">
        <f>IFERROR(EDATE(L101,M101),"")</f>
        <v/>
      </c>
      <c r="O101" s="92" t="str">
        <f ca="1">IFERROR(N101-TODAY(),"")</f>
        <v/>
      </c>
      <c r="P101" s="92"/>
      <c r="R101" s="52"/>
      <c r="S101" s="52"/>
      <c r="T101" s="52"/>
      <c r="U101" s="52"/>
      <c r="V101" s="52"/>
      <c r="W101" s="52"/>
      <c r="X101" s="94"/>
      <c r="Y101" s="94"/>
      <c r="Z101" s="94"/>
      <c r="AA101" s="94"/>
      <c r="AK101" s="92" t="str">
        <f ca="1">IF(AGREEMENTS[[#This Row],[Days to Contract End]]&lt;=90,"R",IF(AND(AGREEMENTS[[#This Row],[Days to Contract End]]&lt;180),"A","G"))</f>
        <v>G</v>
      </c>
      <c r="AL101" s="235"/>
      <c r="AM101" s="328"/>
      <c r="AN101" s="52"/>
      <c r="AO101" s="72"/>
      <c r="AP101" s="51"/>
      <c r="AQ101" s="52"/>
    </row>
    <row r="102" spans="2:45">
      <c r="B102" s="155" t="s">
        <v>221</v>
      </c>
      <c r="C102" s="91">
        <f>IFERROR(VLOOKUP(B102,'QB Consolidated Contacts'!$A$1:$F$333,6),"-")</f>
        <v>0</v>
      </c>
      <c r="E102" s="275" t="s">
        <v>42</v>
      </c>
      <c r="F102" s="221" t="s">
        <v>66</v>
      </c>
      <c r="G102" s="221" t="s">
        <v>44</v>
      </c>
      <c r="H102" s="294"/>
      <c r="I102" s="257" t="s">
        <v>78</v>
      </c>
      <c r="J102" s="276" t="s">
        <v>39</v>
      </c>
      <c r="K102" s="276"/>
      <c r="L102" s="93">
        <v>45002</v>
      </c>
      <c r="M102" s="92">
        <v>24</v>
      </c>
      <c r="N102" s="93">
        <f>IFERROR(EDATE(L102,M102),"")</f>
        <v>45733</v>
      </c>
      <c r="O102" s="92">
        <f ca="1">IFERROR(N102-TODAY(),"")</f>
        <v>-360</v>
      </c>
      <c r="P102" s="92"/>
      <c r="R102" s="52"/>
      <c r="S102" s="52"/>
      <c r="T102" s="52"/>
      <c r="U102" s="52"/>
      <c r="V102" s="52"/>
      <c r="W102" s="52"/>
      <c r="X102" s="94"/>
      <c r="Y102" s="94"/>
      <c r="Z102" s="94"/>
      <c r="AA102" s="94"/>
      <c r="AK102" s="92" t="str">
        <f ca="1">IF(AGREEMENTS[[#This Row],[Days to Contract End]]&lt;=90,"R",IF(AND(AGREEMENTS[[#This Row],[Days to Contract End]]&lt;180),"A","G"))</f>
        <v>R</v>
      </c>
      <c r="AL102" s="235"/>
      <c r="AM102" s="328"/>
      <c r="AN102" s="52"/>
      <c r="AO102" s="72"/>
      <c r="AP102" s="51"/>
      <c r="AQ102" s="52"/>
    </row>
    <row r="103" spans="2:45">
      <c r="B103" s="155" t="s">
        <v>222</v>
      </c>
      <c r="C103" s="91">
        <f>IFERROR(VLOOKUP(B103,'QB Consolidated Contacts'!$A$1:$F$333,6),"-")</f>
        <v>0</v>
      </c>
      <c r="E103" s="275" t="s">
        <v>42</v>
      </c>
      <c r="F103" s="221" t="s">
        <v>43</v>
      </c>
      <c r="G103" s="221" t="s">
        <v>44</v>
      </c>
      <c r="H103" s="111"/>
      <c r="I103" t="s">
        <v>45</v>
      </c>
      <c r="J103" s="276" t="s">
        <v>40</v>
      </c>
      <c r="K103" s="276"/>
      <c r="L103" s="93"/>
      <c r="M103" s="92"/>
      <c r="N103" s="93">
        <f>IFERROR(EDATE(L103,M103),"")</f>
        <v>0</v>
      </c>
      <c r="O103" s="92">
        <f ca="1">IFERROR(N103-TODAY(),"")</f>
        <v>-46093</v>
      </c>
      <c r="P103" s="92" t="s">
        <v>39</v>
      </c>
      <c r="Q103" s="92" t="s">
        <v>81</v>
      </c>
      <c r="R103" s="52"/>
      <c r="S103" s="52"/>
      <c r="T103" s="52"/>
      <c r="U103" s="52"/>
      <c r="V103" s="52"/>
      <c r="W103" s="52"/>
      <c r="X103" s="94"/>
      <c r="Y103" s="94"/>
      <c r="Z103" s="94"/>
      <c r="AA103" s="94"/>
      <c r="AK103" s="92" t="str">
        <f ca="1">IF(AGREEMENTS[[#This Row],[Days to Contract End]]&lt;=90,"R",IF(AND(AGREEMENTS[[#This Row],[Days to Contract End]]&lt;180),"A","G"))</f>
        <v>R</v>
      </c>
      <c r="AL103" s="235"/>
      <c r="AM103" s="328"/>
      <c r="AN103" s="52"/>
      <c r="AO103" s="72"/>
      <c r="AP103" s="51"/>
      <c r="AQ103" s="52"/>
    </row>
    <row r="104" spans="2:45" ht="30">
      <c r="B104" s="155" t="s">
        <v>222</v>
      </c>
      <c r="C104" s="91">
        <f>IFERROR(VLOOKUP(B104,'QB Consolidated Contacts'!$A$1:$F$333,6),"-")</f>
        <v>0</v>
      </c>
      <c r="E104" s="275" t="s">
        <v>42</v>
      </c>
      <c r="F104" s="221" t="s">
        <v>66</v>
      </c>
      <c r="G104" s="221" t="s">
        <v>44</v>
      </c>
      <c r="H104" s="294"/>
      <c r="I104" s="258" t="s">
        <v>78</v>
      </c>
      <c r="J104" s="276" t="s">
        <v>40</v>
      </c>
      <c r="K104" s="276"/>
      <c r="L104" s="93"/>
      <c r="M104" s="92"/>
      <c r="N104" s="93">
        <f>IFERROR(EDATE(L104,M104),"")</f>
        <v>0</v>
      </c>
      <c r="O104" s="92">
        <f ca="1">IFERROR(N104-TODAY(),"")</f>
        <v>-46093</v>
      </c>
      <c r="P104" s="92" t="s">
        <v>40</v>
      </c>
      <c r="R104" s="52"/>
      <c r="S104" s="52"/>
      <c r="T104" s="52"/>
      <c r="U104" s="52"/>
      <c r="V104" s="52"/>
      <c r="W104" s="52"/>
      <c r="X104" s="94"/>
      <c r="Y104" s="94"/>
      <c r="Z104" s="94"/>
      <c r="AA104" s="94"/>
      <c r="AK104" s="92" t="str">
        <f ca="1">IF(AGREEMENTS[[#This Row],[Days to Contract End]]&lt;=90,"R",IF(AND(AGREEMENTS[[#This Row],[Days to Contract End]]&lt;180),"A","G"))</f>
        <v>R</v>
      </c>
      <c r="AL104" s="235"/>
      <c r="AM104" s="328"/>
      <c r="AN104" s="52"/>
      <c r="AO104" s="72"/>
      <c r="AP104" s="51"/>
      <c r="AQ104" s="52"/>
    </row>
    <row r="105" spans="2:45">
      <c r="B105" s="155" t="s">
        <v>223</v>
      </c>
      <c r="C105" s="91">
        <f>IFERROR(VLOOKUP(B105,'QB Consolidated Contacts'!$A$1:$F$333,6),"-")</f>
        <v>0</v>
      </c>
      <c r="E105" s="275" t="s">
        <v>42</v>
      </c>
      <c r="F105" s="221" t="s">
        <v>43</v>
      </c>
      <c r="G105" s="221" t="s">
        <v>44</v>
      </c>
      <c r="H105" s="294"/>
      <c r="I105" s="258" t="s">
        <v>45</v>
      </c>
      <c r="J105" s="276" t="s">
        <v>39</v>
      </c>
      <c r="K105" s="276" t="s">
        <v>39</v>
      </c>
      <c r="L105" s="93">
        <v>44531</v>
      </c>
      <c r="M105" s="92" t="s">
        <v>46</v>
      </c>
      <c r="N105" s="93" t="str">
        <f>IFERROR(EDATE(L105,M105),"")</f>
        <v/>
      </c>
      <c r="O105" s="92" t="str">
        <f ca="1">IFERROR(N105-TODAY(),"")</f>
        <v/>
      </c>
      <c r="P105" s="92"/>
      <c r="R105" s="52"/>
      <c r="S105" s="52"/>
      <c r="T105" s="52"/>
      <c r="U105" s="52"/>
      <c r="V105" s="52"/>
      <c r="W105" s="52"/>
      <c r="X105" s="94"/>
      <c r="Y105" s="94"/>
      <c r="Z105" s="94"/>
      <c r="AA105" s="94"/>
      <c r="AK105" s="92" t="str">
        <f ca="1">IF(AGREEMENTS[[#This Row],[Days to Contract End]]&lt;=90,"R",IF(AND(AGREEMENTS[[#This Row],[Days to Contract End]]&lt;180),"A","G"))</f>
        <v>G</v>
      </c>
      <c r="AL105" s="235"/>
      <c r="AM105" s="328"/>
      <c r="AN105" s="52"/>
      <c r="AO105" s="72"/>
      <c r="AP105" s="51"/>
      <c r="AQ105" s="52"/>
    </row>
    <row r="106" spans="2:45">
      <c r="B106" s="155" t="s">
        <v>224</v>
      </c>
      <c r="C106" s="91">
        <f>IFERROR(VLOOKUP(B106,'QB Consolidated Contacts'!$A$1:$F$333,6),"-")</f>
        <v>0</v>
      </c>
      <c r="E106" s="275" t="s">
        <v>51</v>
      </c>
      <c r="F106" s="221" t="s">
        <v>43</v>
      </c>
      <c r="G106" s="221" t="s">
        <v>44</v>
      </c>
      <c r="H106" s="294"/>
      <c r="I106" s="258" t="s">
        <v>45</v>
      </c>
      <c r="J106" s="276" t="s">
        <v>39</v>
      </c>
      <c r="K106" s="276"/>
      <c r="L106" s="93">
        <v>43608</v>
      </c>
      <c r="M106" s="92"/>
      <c r="N106" s="93">
        <f>IFERROR(EDATE(L106,M106),"")</f>
        <v>43608</v>
      </c>
      <c r="O106" s="92">
        <f ca="1">IFERROR(N106-TODAY(),"")</f>
        <v>-2485</v>
      </c>
      <c r="P106" s="92"/>
      <c r="R106" s="52"/>
      <c r="S106" s="52"/>
      <c r="T106" s="52"/>
      <c r="U106" s="52"/>
      <c r="V106" s="52"/>
      <c r="W106" s="52"/>
      <c r="X106" s="94"/>
      <c r="Y106" s="94"/>
      <c r="Z106" s="94"/>
      <c r="AA106" s="94"/>
      <c r="AK106" s="92" t="str">
        <f ca="1">IF(AGREEMENTS[[#This Row],[Days to Contract End]]&lt;=90,"R",IF(AND(AGREEMENTS[[#This Row],[Days to Contract End]]&lt;180),"A","G"))</f>
        <v>R</v>
      </c>
      <c r="AL106" s="235"/>
      <c r="AM106" s="328"/>
      <c r="AN106" s="52"/>
      <c r="AO106" s="72"/>
      <c r="AP106" s="51"/>
      <c r="AQ106" s="52"/>
    </row>
    <row r="107" spans="2:45">
      <c r="B107" s="155" t="s">
        <v>225</v>
      </c>
      <c r="C107" s="91">
        <f>IFERROR(VLOOKUP(B107,'QB Consolidated Contacts'!$A$1:$F$333,6),"-")</f>
        <v>0</v>
      </c>
      <c r="E107" s="272" t="s">
        <v>42</v>
      </c>
      <c r="F107" s="221" t="s">
        <v>66</v>
      </c>
      <c r="G107" s="221" t="s">
        <v>44</v>
      </c>
      <c r="H107" s="294"/>
      <c r="I107" s="257" t="s">
        <v>226</v>
      </c>
      <c r="J107" s="276" t="s">
        <v>39</v>
      </c>
      <c r="K107" s="276" t="s">
        <v>39</v>
      </c>
      <c r="L107" s="93">
        <v>45498</v>
      </c>
      <c r="M107" s="92">
        <v>36</v>
      </c>
      <c r="N107" s="93">
        <f>IFERROR(EDATE(L107,M107),"")</f>
        <v>46593</v>
      </c>
      <c r="O107" s="92">
        <f ca="1">IFERROR(N107-TODAY(),"")</f>
        <v>500</v>
      </c>
      <c r="P107" s="92"/>
      <c r="R107" s="52"/>
      <c r="S107" s="52"/>
      <c r="T107" s="52"/>
      <c r="U107" s="52"/>
      <c r="V107" s="52"/>
      <c r="W107" s="52"/>
      <c r="X107" s="94"/>
      <c r="Y107" s="94"/>
      <c r="Z107" s="94"/>
      <c r="AA107" s="94"/>
      <c r="AK107" s="92" t="str">
        <f ca="1">IF(AGREEMENTS[[#This Row],[Days to Contract End]]&lt;=90,"R",IF(AND(AGREEMENTS[[#This Row],[Days to Contract End]]&lt;180),"A","G"))</f>
        <v>G</v>
      </c>
      <c r="AL107" s="235"/>
      <c r="AM107" s="328"/>
      <c r="AN107" s="52"/>
      <c r="AO107" s="72"/>
      <c r="AP107" s="51"/>
      <c r="AQ107" s="52"/>
    </row>
    <row r="108" spans="2:45">
      <c r="B108" s="155" t="s">
        <v>227</v>
      </c>
      <c r="C108" s="91">
        <f>IFERROR(VLOOKUP(B108,'QB Consolidated Contacts'!$A$1:$F$333,6),"-")</f>
        <v>0</v>
      </c>
      <c r="E108" s="275" t="s">
        <v>42</v>
      </c>
      <c r="F108" s="221" t="s">
        <v>43</v>
      </c>
      <c r="G108" s="221" t="s">
        <v>44</v>
      </c>
      <c r="H108" s="294"/>
      <c r="I108" s="257" t="s">
        <v>45</v>
      </c>
      <c r="J108" s="276" t="s">
        <v>39</v>
      </c>
      <c r="K108" s="276"/>
      <c r="L108" s="93">
        <v>42979</v>
      </c>
      <c r="M108" s="92">
        <v>12</v>
      </c>
      <c r="N108" s="93">
        <f>IFERROR(EOMONTH(L108,M108),"")</f>
        <v>43373</v>
      </c>
      <c r="O108" s="92">
        <f ca="1">IFERROR(N108-TODAY(),"")</f>
        <v>-2720</v>
      </c>
      <c r="P108" s="92"/>
      <c r="R108" s="52"/>
      <c r="S108" s="52"/>
      <c r="T108" s="52"/>
      <c r="U108" s="52"/>
      <c r="V108" s="52"/>
      <c r="W108" s="52"/>
      <c r="X108" s="94"/>
      <c r="Y108" s="94"/>
      <c r="Z108" s="94"/>
      <c r="AA108" s="94"/>
      <c r="AK108" s="92" t="str">
        <f ca="1">IF(AGREEMENTS[[#This Row],[Days to Contract End]]&lt;=90,"R",IF(AND(AGREEMENTS[[#This Row],[Days to Contract End]]&lt;180),"A","G"))</f>
        <v>R</v>
      </c>
      <c r="AL108" s="235"/>
      <c r="AM108" s="328"/>
      <c r="AN108" s="52"/>
      <c r="AO108" s="72"/>
      <c r="AP108" s="51"/>
      <c r="AQ108" s="52"/>
    </row>
    <row r="109" spans="2:45">
      <c r="B109" s="155" t="s">
        <v>228</v>
      </c>
      <c r="C109" s="91">
        <f>IFERROR(VLOOKUP(B109,'QB Consolidated Contacts'!$A$1:$F$333,6),"-")</f>
        <v>0</v>
      </c>
      <c r="E109" s="275" t="s">
        <v>42</v>
      </c>
      <c r="F109" s="221" t="s">
        <v>43</v>
      </c>
      <c r="G109" s="221" t="s">
        <v>44</v>
      </c>
      <c r="H109" s="294"/>
      <c r="I109" s="258" t="s">
        <v>45</v>
      </c>
      <c r="J109" s="276" t="s">
        <v>39</v>
      </c>
      <c r="K109" s="276"/>
      <c r="L109" s="93">
        <v>43356</v>
      </c>
      <c r="M109" s="92" t="s">
        <v>46</v>
      </c>
      <c r="N109" s="93" t="str">
        <f>IFERROR(EDATE(L109,M109),"")</f>
        <v/>
      </c>
      <c r="O109" s="92" t="str">
        <f ca="1">IFERROR(N109-TODAY(),"")</f>
        <v/>
      </c>
      <c r="P109" s="92"/>
      <c r="R109" s="52"/>
      <c r="S109" s="52"/>
      <c r="T109" s="52"/>
      <c r="U109" s="52"/>
      <c r="V109" s="52"/>
      <c r="W109" s="52"/>
      <c r="X109" s="94"/>
      <c r="Y109" s="94"/>
      <c r="Z109" s="94"/>
      <c r="AA109" s="94"/>
      <c r="AK109" s="92" t="str">
        <f ca="1">IF(AGREEMENTS[[#This Row],[Days to Contract End]]&lt;=90,"R",IF(AND(AGREEMENTS[[#This Row],[Days to Contract End]]&lt;180),"A","G"))</f>
        <v>G</v>
      </c>
      <c r="AL109" s="235"/>
      <c r="AM109" s="328"/>
      <c r="AN109" s="52"/>
      <c r="AO109" s="72"/>
      <c r="AP109" s="51"/>
      <c r="AQ109" s="52"/>
    </row>
    <row r="110" spans="2:45" s="57" customFormat="1">
      <c r="B110" s="155" t="s">
        <v>228</v>
      </c>
      <c r="C110" s="91">
        <f>IFERROR(VLOOKUP(B110,'QB Consolidated Contacts'!$A$1:$F$333,6),"-")</f>
        <v>0</v>
      </c>
      <c r="D110" s="206"/>
      <c r="E110" s="275" t="s">
        <v>42</v>
      </c>
      <c r="F110" s="221" t="s">
        <v>66</v>
      </c>
      <c r="G110" s="221" t="s">
        <v>44</v>
      </c>
      <c r="H110" s="294"/>
      <c r="I110" s="258" t="s">
        <v>78</v>
      </c>
      <c r="J110" s="276" t="s">
        <v>39</v>
      </c>
      <c r="K110" s="276" t="s">
        <v>40</v>
      </c>
      <c r="L110" s="93">
        <v>43356</v>
      </c>
      <c r="M110" s="92">
        <v>12</v>
      </c>
      <c r="N110" s="93">
        <f>IFERROR(EDATE(L110,M110),"")</f>
        <v>43721</v>
      </c>
      <c r="O110" s="92">
        <f ca="1">IFERROR(N110-TODAY(),"")</f>
        <v>-2372</v>
      </c>
      <c r="P110" s="92"/>
      <c r="Q110" s="92"/>
      <c r="R110" s="52"/>
      <c r="S110" s="52"/>
      <c r="T110" s="52"/>
      <c r="U110" s="52"/>
      <c r="V110" s="52"/>
      <c r="W110" s="52"/>
      <c r="X110" s="94"/>
      <c r="Y110" s="94"/>
      <c r="Z110" s="94"/>
      <c r="AA110" s="94"/>
      <c r="AB110" s="94"/>
      <c r="AC110" s="94"/>
      <c r="AD110" s="94"/>
      <c r="AE110" s="94"/>
      <c r="AF110" s="94"/>
      <c r="AG110" s="94"/>
      <c r="AH110" s="94"/>
      <c r="AI110" s="94"/>
      <c r="AJ110" s="94"/>
      <c r="AK110" s="92" t="str">
        <f ca="1">IF(AGREEMENTS[[#This Row],[Days to Contract End]]&lt;=90,"R",IF(AND(AGREEMENTS[[#This Row],[Days to Contract End]]&lt;180),"A","G"))</f>
        <v>R</v>
      </c>
      <c r="AL110" s="235"/>
      <c r="AM110" s="328"/>
      <c r="AN110" s="52"/>
      <c r="AO110" s="72"/>
      <c r="AP110" s="51"/>
      <c r="AQ110" s="52"/>
      <c r="AR110" s="52"/>
      <c r="AS110" s="52"/>
    </row>
    <row r="111" spans="2:45">
      <c r="B111" s="155" t="s">
        <v>229</v>
      </c>
      <c r="C111" s="91">
        <f>IFERROR(VLOOKUP(B111,'QB Consolidated Contacts'!$A$1:$F$333,6),"-")</f>
        <v>0</v>
      </c>
      <c r="E111" s="275" t="s">
        <v>42</v>
      </c>
      <c r="F111" s="221" t="s">
        <v>43</v>
      </c>
      <c r="G111" s="221" t="s">
        <v>44</v>
      </c>
      <c r="H111" s="294"/>
      <c r="I111" s="258" t="s">
        <v>45</v>
      </c>
      <c r="J111" s="276" t="s">
        <v>39</v>
      </c>
      <c r="K111" s="276"/>
      <c r="L111" s="93">
        <v>43290</v>
      </c>
      <c r="M111" s="92"/>
      <c r="N111" s="93">
        <f>IFERROR(EDATE(L111,M111),"")</f>
        <v>43290</v>
      </c>
      <c r="O111" s="92">
        <f ca="1">IFERROR(N111-TODAY(),"")</f>
        <v>-2803</v>
      </c>
      <c r="P111" s="92"/>
      <c r="R111" s="52"/>
      <c r="S111" s="52"/>
      <c r="T111" s="52"/>
      <c r="U111" s="52"/>
      <c r="V111" s="52"/>
      <c r="W111" s="52"/>
      <c r="X111" s="94"/>
      <c r="Y111" s="94"/>
      <c r="Z111" s="94"/>
      <c r="AA111" s="94"/>
      <c r="AK111" s="92" t="str">
        <f ca="1">IF(AGREEMENTS[[#This Row],[Days to Contract End]]&lt;=90,"R",IF(AND(AGREEMENTS[[#This Row],[Days to Contract End]]&lt;180),"A","G"))</f>
        <v>R</v>
      </c>
      <c r="AL111" s="235"/>
      <c r="AM111" s="328"/>
      <c r="AN111" s="52"/>
      <c r="AO111" s="72"/>
      <c r="AP111" s="51"/>
      <c r="AQ111" s="52"/>
    </row>
    <row r="112" spans="2:45" ht="30">
      <c r="B112" s="155" t="s">
        <v>229</v>
      </c>
      <c r="C112" s="91">
        <f>IFERROR(VLOOKUP(B112,'QB Consolidated Contacts'!$A$1:$F$333,6),"-")</f>
        <v>0</v>
      </c>
      <c r="E112" s="275" t="s">
        <v>42</v>
      </c>
      <c r="F112" s="221" t="s">
        <v>66</v>
      </c>
      <c r="G112" s="221" t="s">
        <v>44</v>
      </c>
      <c r="H112" s="294"/>
      <c r="I112" s="258" t="s">
        <v>78</v>
      </c>
      <c r="J112" s="276" t="s">
        <v>39</v>
      </c>
      <c r="K112" s="276"/>
      <c r="L112" s="93">
        <v>44156</v>
      </c>
      <c r="M112" s="92">
        <v>60</v>
      </c>
      <c r="N112" s="93">
        <f>IFERROR(EDATE(L112,M112),"")</f>
        <v>45982</v>
      </c>
      <c r="O112" s="92">
        <f ca="1">IFERROR(N112-TODAY(),"")</f>
        <v>-111</v>
      </c>
      <c r="P112" s="92"/>
      <c r="R112" s="52"/>
      <c r="S112" s="52"/>
      <c r="T112" s="52"/>
      <c r="U112" s="52"/>
      <c r="V112" s="52"/>
      <c r="W112" s="52"/>
      <c r="X112" s="94"/>
      <c r="Y112" s="94"/>
      <c r="Z112" s="94"/>
      <c r="AA112" s="94"/>
      <c r="AK112" s="92" t="str">
        <f ca="1">IF(AGREEMENTS[[#This Row],[Days to Contract End]]&lt;=90,"R",IF(AND(AGREEMENTS[[#This Row],[Days to Contract End]]&lt;180),"A","G"))</f>
        <v>R</v>
      </c>
      <c r="AL112" s="235"/>
      <c r="AM112" s="328"/>
      <c r="AN112" s="52"/>
      <c r="AO112" s="72"/>
      <c r="AP112" s="51"/>
      <c r="AQ112" s="52"/>
    </row>
    <row r="113" spans="2:43" ht="30">
      <c r="B113" s="155" t="s">
        <v>230</v>
      </c>
      <c r="C113" s="206"/>
      <c r="E113" s="272" t="s">
        <v>51</v>
      </c>
      <c r="F113" s="221" t="s">
        <v>43</v>
      </c>
      <c r="G113" s="221" t="s">
        <v>231</v>
      </c>
      <c r="H113" s="294"/>
      <c r="I113" s="257" t="s">
        <v>232</v>
      </c>
      <c r="J113" s="276" t="s">
        <v>39</v>
      </c>
      <c r="K113" s="276" t="s">
        <v>39</v>
      </c>
      <c r="L113" s="93">
        <v>45707</v>
      </c>
      <c r="M113" s="92"/>
      <c r="N113" s="93">
        <f>IFERROR(EDATE(L113,M113),"")</f>
        <v>45707</v>
      </c>
      <c r="O113" s="92">
        <f ca="1">IFERROR(N113-TODAY(),"")</f>
        <v>-386</v>
      </c>
      <c r="P113" s="92"/>
      <c r="R113" s="52"/>
      <c r="S113" s="52"/>
      <c r="T113" s="52"/>
      <c r="U113" s="52"/>
      <c r="V113" s="52"/>
      <c r="W113" s="52"/>
      <c r="X113" s="94"/>
      <c r="Y113" s="94"/>
      <c r="Z113" s="94"/>
      <c r="AA113" s="94"/>
      <c r="AK113" s="92" t="str">
        <f ca="1">IF(AGREEMENTS[[#This Row],[Days to Contract End]]&lt;=90,"R",IF(AND(AGREEMENTS[[#This Row],[Days to Contract End]]&lt;180),"A","G"))</f>
        <v>R</v>
      </c>
      <c r="AL113" s="235"/>
      <c r="AM113" s="328"/>
      <c r="AN113" s="52"/>
      <c r="AO113" s="72"/>
      <c r="AP113" s="51"/>
      <c r="AQ113" s="52"/>
    </row>
    <row r="114" spans="2:43">
      <c r="B114" s="155" t="s">
        <v>230</v>
      </c>
      <c r="C114" s="91">
        <f>IFERROR(VLOOKUP(B114,'QB Consolidated Contacts'!$A$1:$F$333,6),"-")</f>
        <v>0</v>
      </c>
      <c r="E114" s="275" t="s">
        <v>51</v>
      </c>
      <c r="F114" s="221" t="s">
        <v>43</v>
      </c>
      <c r="G114" s="221" t="s">
        <v>44</v>
      </c>
      <c r="H114" s="294"/>
      <c r="I114" s="258" t="s">
        <v>45</v>
      </c>
      <c r="J114" s="276" t="s">
        <v>39</v>
      </c>
      <c r="K114" s="276" t="s">
        <v>39</v>
      </c>
      <c r="L114" s="93">
        <v>44075</v>
      </c>
      <c r="M114" s="92">
        <v>36</v>
      </c>
      <c r="N114" s="93">
        <f>IFERROR(EDATE(L114,M114),"")</f>
        <v>45170</v>
      </c>
      <c r="O114" s="92">
        <f ca="1">IFERROR(N114-TODAY(),"")</f>
        <v>-923</v>
      </c>
      <c r="P114" s="92" t="s">
        <v>39</v>
      </c>
      <c r="R114" s="52" t="s">
        <v>47</v>
      </c>
      <c r="S114" s="296" t="s">
        <v>49</v>
      </c>
      <c r="T114" s="52"/>
      <c r="U114" s="52"/>
      <c r="V114" s="52"/>
      <c r="W114" s="52"/>
      <c r="X114" s="94"/>
      <c r="Y114" s="94"/>
      <c r="Z114" s="94"/>
      <c r="AA114" s="94"/>
      <c r="AK114" s="92" t="str">
        <f ca="1">IF(AGREEMENTS[[#This Row],[Days to Contract End]]&lt;=90,"R",IF(AND(AGREEMENTS[[#This Row],[Days to Contract End]]&lt;180),"A","G"))</f>
        <v>R</v>
      </c>
      <c r="AL114" s="235" t="s">
        <v>233</v>
      </c>
      <c r="AM114" s="328"/>
    </row>
    <row r="115" spans="2:43">
      <c r="B115" s="155" t="s">
        <v>234</v>
      </c>
      <c r="C115" s="91">
        <f>IFERROR(VLOOKUP(B115,'QB Consolidated Contacts'!$A$1:$F$333,6),"-")</f>
        <v>0</v>
      </c>
      <c r="E115" s="272" t="s">
        <v>42</v>
      </c>
      <c r="F115" s="221" t="s">
        <v>66</v>
      </c>
      <c r="G115" s="221" t="s">
        <v>44</v>
      </c>
      <c r="H115" s="305"/>
      <c r="I115" s="293" t="s">
        <v>235</v>
      </c>
      <c r="J115" s="276" t="s">
        <v>39</v>
      </c>
      <c r="K115" s="276" t="s">
        <v>39</v>
      </c>
      <c r="L115" s="93"/>
      <c r="M115" s="92"/>
      <c r="N115" s="93"/>
      <c r="O115" s="92"/>
      <c r="P115" s="92"/>
      <c r="R115" s="52"/>
      <c r="S115" s="52"/>
      <c r="T115" s="52"/>
      <c r="U115" s="52"/>
      <c r="V115" s="52"/>
      <c r="W115" s="52"/>
      <c r="X115" s="94"/>
      <c r="Y115" s="94"/>
      <c r="Z115" s="94"/>
      <c r="AA115" s="94"/>
      <c r="AK115" s="92"/>
      <c r="AL115" s="235"/>
      <c r="AM115" s="329"/>
    </row>
    <row r="116" spans="2:43">
      <c r="C116" s="91" t="str">
        <f>IFERROR(VLOOKUP(B116,'QB Consolidated Contacts'!$A$1:$F$333,6),"-")</f>
        <v>-</v>
      </c>
      <c r="E116" s="272"/>
      <c r="F116" s="221"/>
      <c r="G116" s="221"/>
      <c r="H116" s="305"/>
      <c r="I116" s="293"/>
      <c r="J116" s="276"/>
      <c r="K116" s="276"/>
      <c r="L116" s="93"/>
      <c r="M116" s="92"/>
      <c r="N116" s="93"/>
      <c r="O116" s="92"/>
      <c r="P116" s="92"/>
      <c r="R116" s="52"/>
      <c r="S116" s="52"/>
      <c r="T116" s="52"/>
      <c r="U116" s="52"/>
      <c r="V116" s="52"/>
      <c r="W116" s="52"/>
      <c r="X116" s="94"/>
      <c r="Y116" s="94"/>
      <c r="Z116" s="94"/>
      <c r="AA116" s="94"/>
      <c r="AK116" s="92"/>
      <c r="AL116" s="235"/>
      <c r="AM116" s="329"/>
    </row>
    <row r="117" spans="2:43">
      <c r="B117" s="287"/>
      <c r="C117" s="278" t="str">
        <f>IFERROR(VLOOKUP(B117,'QB Consolidated Contacts'!$A$1:$F$333,6),"-")</f>
        <v>-</v>
      </c>
      <c r="D117" s="210"/>
      <c r="E117" s="272"/>
      <c r="F117" s="221"/>
      <c r="G117" s="221"/>
      <c r="H117" s="314"/>
      <c r="I117" s="310"/>
      <c r="J117" s="299"/>
      <c r="K117" s="276"/>
      <c r="L117" s="276"/>
      <c r="M117" s="275"/>
      <c r="N117" s="271">
        <f>IFERROR(EDATE(L117,M117),"")</f>
        <v>0</v>
      </c>
      <c r="O117" s="274">
        <f ca="1">IFERROR(N117-TODAY(),"")</f>
        <v>-46093</v>
      </c>
      <c r="P117" s="272"/>
      <c r="Q117" s="273"/>
      <c r="R117" s="273"/>
      <c r="S117" s="274"/>
      <c r="T117" s="57"/>
      <c r="U117" s="57"/>
      <c r="V117" s="279"/>
      <c r="W117" s="52"/>
      <c r="X117" s="311"/>
      <c r="Y117" s="312"/>
      <c r="Z117" s="94"/>
      <c r="AA117" s="94"/>
      <c r="AK117" s="92" t="str">
        <f ca="1">IF(AGREEMENTS[[#This Row],[Days to Contract End]]&lt;=90,"R",IF(AND(AGREEMENTS[[#This Row],[Days to Contract End]]&lt;180),"A","G"))</f>
        <v>R</v>
      </c>
      <c r="AL117" s="235"/>
      <c r="AM117" s="329"/>
    </row>
    <row r="118" spans="2:43">
      <c r="B118" s="287"/>
      <c r="C118" s="278" t="str">
        <f>IFERROR(VLOOKUP(B118,'QB Consolidated Contacts'!$A$1:$F$333,6),"-")</f>
        <v>-</v>
      </c>
      <c r="D118" s="210"/>
      <c r="E118" s="272"/>
      <c r="F118" s="221"/>
      <c r="G118" s="221"/>
      <c r="H118" s="314"/>
      <c r="I118" s="310"/>
      <c r="J118" s="299"/>
      <c r="K118" s="276"/>
      <c r="L118" s="276"/>
      <c r="M118" s="275"/>
      <c r="N118" s="271">
        <f>IFERROR(EDATE(L118,M118),"")</f>
        <v>0</v>
      </c>
      <c r="O118" s="274">
        <f ca="1">IFERROR(N118-TODAY(),"")</f>
        <v>-46093</v>
      </c>
      <c r="P118" s="272"/>
      <c r="Q118" s="273"/>
      <c r="R118" s="273"/>
      <c r="S118" s="274"/>
      <c r="T118" s="57"/>
      <c r="U118" s="57"/>
      <c r="V118" s="279"/>
      <c r="W118" s="52"/>
      <c r="X118" s="311"/>
      <c r="Y118" s="312"/>
      <c r="Z118" s="94"/>
      <c r="AA118" s="94"/>
      <c r="AK118" s="92" t="str">
        <f ca="1">IF(AGREEMENTS[[#This Row],[Days to Contract End]]&lt;=90,"R",IF(AND(AGREEMENTS[[#This Row],[Days to Contract End]]&lt;180),"A","G"))</f>
        <v>R</v>
      </c>
      <c r="AL118" s="235"/>
      <c r="AM118" s="329"/>
    </row>
    <row r="119" spans="2:43">
      <c r="B119" s="287"/>
      <c r="C119" s="278" t="str">
        <f>IFERROR(VLOOKUP(B119,'QB Consolidated Contacts'!$A$1:$F$333,6),"-")</f>
        <v>-</v>
      </c>
      <c r="D119" s="210"/>
      <c r="E119" s="272"/>
      <c r="F119" s="221"/>
      <c r="G119" s="221"/>
      <c r="H119" s="314"/>
      <c r="I119" s="310"/>
      <c r="J119" s="299"/>
      <c r="K119" s="276"/>
      <c r="L119" s="276"/>
      <c r="M119" s="275"/>
      <c r="N119" s="271">
        <f>IFERROR(EDATE(L119,M119),"")</f>
        <v>0</v>
      </c>
      <c r="O119" s="274">
        <f ca="1">IFERROR(N119-TODAY(),"")</f>
        <v>-46093</v>
      </c>
      <c r="P119" s="272"/>
      <c r="Q119" s="273"/>
      <c r="R119" s="273"/>
      <c r="S119" s="274"/>
      <c r="T119" s="57"/>
      <c r="U119" s="57"/>
      <c r="V119" s="279"/>
      <c r="W119" s="52"/>
      <c r="X119" s="311"/>
      <c r="Y119" s="312"/>
      <c r="Z119" s="94"/>
      <c r="AA119" s="94"/>
      <c r="AK119" s="92" t="str">
        <f ca="1">IF(AGREEMENTS[[#This Row],[Days to Contract End]]&lt;=90,"R",IF(AND(AGREEMENTS[[#This Row],[Days to Contract End]]&lt;180),"A","G"))</f>
        <v>R</v>
      </c>
      <c r="AL119" s="235"/>
      <c r="AM119" s="329"/>
    </row>
    <row r="120" spans="2:43">
      <c r="B120" s="287"/>
      <c r="C120" s="278" t="str">
        <f>IFERROR(VLOOKUP(B120,'QB Consolidated Contacts'!$A$1:$F$333,6),"-")</f>
        <v>-</v>
      </c>
      <c r="D120" s="210"/>
      <c r="E120" s="272"/>
      <c r="F120" s="221"/>
      <c r="G120" s="221"/>
      <c r="H120" s="314"/>
      <c r="I120" s="310"/>
      <c r="J120" s="299"/>
      <c r="K120" s="276"/>
      <c r="L120" s="276"/>
      <c r="M120" s="275"/>
      <c r="N120" s="271">
        <f>IFERROR(EDATE(L120,M120),"")</f>
        <v>0</v>
      </c>
      <c r="O120" s="274">
        <f ca="1">IFERROR(N120-TODAY(),"")</f>
        <v>-46093</v>
      </c>
      <c r="P120" s="272"/>
      <c r="Q120" s="273"/>
      <c r="R120" s="273"/>
      <c r="S120" s="274"/>
      <c r="T120" s="57"/>
      <c r="U120" s="57"/>
      <c r="V120" s="279"/>
      <c r="W120" s="52"/>
      <c r="X120" s="311"/>
      <c r="Y120" s="312"/>
      <c r="Z120" s="94"/>
      <c r="AA120" s="94"/>
      <c r="AK120" s="92" t="str">
        <f ca="1">IF(AGREEMENTS[[#This Row],[Days to Contract End]]&lt;=90,"R",IF(AND(AGREEMENTS[[#This Row],[Days to Contract End]]&lt;180),"A","G"))</f>
        <v>R</v>
      </c>
      <c r="AL120" s="235"/>
      <c r="AM120" s="329"/>
    </row>
    <row r="121" spans="2:43" ht="30">
      <c r="B121" s="157"/>
      <c r="C121" s="157" t="s">
        <v>237</v>
      </c>
      <c r="D121" s="210"/>
      <c r="E121" s="106"/>
      <c r="F121" s="105">
        <f>COUNTA(AGREEMENTS[Client])</f>
        <v>113</v>
      </c>
      <c r="G121" s="103"/>
      <c r="H121" s="153"/>
      <c r="I121" s="153"/>
      <c r="K121" s="74"/>
      <c r="L121" s="74"/>
      <c r="N121" s="107"/>
      <c r="O121" s="101"/>
      <c r="P121" s="101"/>
      <c r="Q121" s="107"/>
      <c r="R121" s="107"/>
      <c r="S121" s="107"/>
      <c r="T121" s="107"/>
      <c r="U121" s="108"/>
      <c r="V121" s="107"/>
      <c r="W121" s="107"/>
      <c r="X121" s="107"/>
      <c r="Y121" s="107"/>
      <c r="Z121" s="107"/>
      <c r="AA121" s="101"/>
      <c r="AB121" s="109"/>
      <c r="AC121" s="109"/>
      <c r="AD121" s="109"/>
      <c r="AE121" s="109"/>
      <c r="AF121" s="109"/>
      <c r="AG121" s="109"/>
      <c r="AH121" s="109"/>
      <c r="AI121" s="109"/>
      <c r="AJ121" s="109"/>
      <c r="AK121" s="109"/>
      <c r="AL121" s="109"/>
    </row>
    <row r="122" spans="2:43">
      <c r="C122" s="91" t="str">
        <f>IFERROR(VLOOKUP(B122,'QB Consolidated Contacts'!A44:E375,5),"")</f>
        <v/>
      </c>
    </row>
    <row r="123" spans="2:43">
      <c r="C123" s="91" t="str">
        <f>IFERROR(VLOOKUP(B123,'QB Consolidated Contacts'!A45:E376,5),"")</f>
        <v/>
      </c>
    </row>
    <row r="131" spans="9:13">
      <c r="I131" s="140" t="s">
        <v>238</v>
      </c>
      <c r="M131" s="57"/>
    </row>
  </sheetData>
  <conditionalFormatting sqref="N1:N8 N10:N111 U121:U1048576">
    <cfRule type="cellIs" dxfId="188" priority="17" operator="equal">
      <formula>0</formula>
    </cfRule>
  </conditionalFormatting>
  <conditionalFormatting sqref="O1:O8 O10:O111 V121:Z1048576">
    <cfRule type="cellIs" dxfId="187" priority="18" operator="lessThan">
      <formula>-3000</formula>
    </cfRule>
  </conditionalFormatting>
  <conditionalFormatting sqref="O3:O8 O10:O111">
    <cfRule type="cellIs" dxfId="186" priority="16" operator="between">
      <formula>-4000</formula>
      <formula>90</formula>
    </cfRule>
  </conditionalFormatting>
  <conditionalFormatting sqref="Q3:AJ8 Z9:AJ9 Q10:AJ111 Z112:AJ120">
    <cfRule type="expression" dxfId="185" priority="19">
      <formula>$P3=$AO$2</formula>
    </cfRule>
  </conditionalFormatting>
  <conditionalFormatting sqref="V9">
    <cfRule type="cellIs" dxfId="184" priority="11" operator="equal">
      <formula>0</formula>
    </cfRule>
  </conditionalFormatting>
  <conditionalFormatting sqref="V112:V120">
    <cfRule type="cellIs" dxfId="183" priority="5" operator="equal">
      <formula>0</formula>
    </cfRule>
  </conditionalFormatting>
  <conditionalFormatting sqref="W112:W120">
    <cfRule type="cellIs" dxfId="182" priority="4" operator="between">
      <formula>-4000</formula>
      <formula>90</formula>
    </cfRule>
    <cfRule type="cellIs" dxfId="181" priority="6" operator="lessThan">
      <formula>-3000</formula>
    </cfRule>
  </conditionalFormatting>
  <conditionalFormatting sqref="X9">
    <cfRule type="cellIs" dxfId="180" priority="7" operator="equal">
      <formula>"R"</formula>
    </cfRule>
    <cfRule type="cellIs" dxfId="179" priority="8" operator="equal">
      <formula>"A"</formula>
    </cfRule>
    <cfRule type="cellIs" dxfId="178" priority="9" operator="equal">
      <formula>"G"</formula>
    </cfRule>
  </conditionalFormatting>
  <conditionalFormatting sqref="X112:X120">
    <cfRule type="cellIs" dxfId="177" priority="1" operator="equal">
      <formula>"R"</formula>
    </cfRule>
    <cfRule type="cellIs" dxfId="176" priority="2" operator="equal">
      <formula>"A"</formula>
    </cfRule>
    <cfRule type="cellIs" dxfId="175" priority="3" operator="equal">
      <formula>"G"</formula>
    </cfRule>
  </conditionalFormatting>
  <conditionalFormatting sqref="AK1:AK120 AM114:AM1048576">
    <cfRule type="cellIs" dxfId="174" priority="13" operator="equal">
      <formula>"R"</formula>
    </cfRule>
  </conditionalFormatting>
  <conditionalFormatting sqref="AK3:AK120">
    <cfRule type="cellIs" dxfId="173" priority="14" operator="equal">
      <formula>"A"</formula>
    </cfRule>
    <cfRule type="cellIs" dxfId="172" priority="15" operator="equal">
      <formula>"G"</formula>
    </cfRule>
  </conditionalFormatting>
  <dataValidations count="5">
    <dataValidation type="list" allowBlank="1" showInputMessage="1" showErrorMessage="1" sqref="J3:K8 K9 J10:K111 K112:K1048576">
      <formula1>"Yes, No"</formula1>
    </dataValidation>
    <dataValidation type="list" allowBlank="1" showInputMessage="1" showErrorMessage="1" sqref="Q3:Q8 Q10:Q111">
      <formula1>"Certificate Holder, Additionally Insured, Waiver of Subrogation, All"</formula1>
    </dataValidation>
    <dataValidation type="list" allowBlank="1" showInputMessage="1" showErrorMessage="1" sqref="C9 D105:D109 E3:E120">
      <formula1>"VNA, VT"</formula1>
    </dataValidation>
    <dataValidation type="list" allowBlank="1" showInputMessage="1" showErrorMessage="1" sqref="P3:P8 P10:P111">
      <formula1>"-,Yes,No"</formula1>
    </dataValidation>
    <dataValidation type="list" allowBlank="1" showInputMessage="1" showErrorMessage="1" sqref="O9 O112:O120">
      <formula1>"-,Daily, Weekly, Biweekly, Monthly, Quarerly, Yearly, Custom, Block of Hours"</formula1>
    </dataValidation>
  </dataValidations>
  <hyperlinks>
    <hyperlink ref="I3" r:id="rId1" display="MSA Signed Copy"/>
    <hyperlink ref="I37" r:id="rId2"/>
    <hyperlink ref="I36" r:id="rId3"/>
    <hyperlink ref="I101" r:id="rId4"/>
    <hyperlink ref="I26" r:id="rId5"/>
    <hyperlink ref="I8" r:id="rId6"/>
    <hyperlink ref="I53" r:id="rId7"/>
    <hyperlink ref="I65" r:id="rId8"/>
    <hyperlink ref="I73" r:id="rId9"/>
    <hyperlink ref="I89" r:id="rId10"/>
    <hyperlink ref="I40" r:id="rId11"/>
    <hyperlink ref="I102" r:id="rId12"/>
    <hyperlink ref="I108" r:id="rId13"/>
    <hyperlink ref="I85" r:id="rId14"/>
    <hyperlink ref="I41" r:id="rId15"/>
    <hyperlink ref="I90" r:id="rId16"/>
    <hyperlink ref="I34" r:id="rId17"/>
    <hyperlink ref="I19" r:id="rId18"/>
    <hyperlink ref="I106" r:id="rId19"/>
    <hyperlink ref="I39" r:id="rId20"/>
    <hyperlink ref="I38" r:id="rId21"/>
    <hyperlink ref="I23" r:id="rId22"/>
    <hyperlink ref="I24" r:id="rId23"/>
    <hyperlink ref="I20" r:id="rId24"/>
    <hyperlink ref="I114" r:id="rId25"/>
    <hyperlink ref="I110" r:id="rId26"/>
    <hyperlink ref="I109" r:id="rId27"/>
    <hyperlink ref="I104" r:id="rId28"/>
    <hyperlink ref="I96" r:id="rId29"/>
    <hyperlink ref="I95" r:id="rId30"/>
    <hyperlink ref="I56" r:id="rId31" display="Temporary NDA"/>
    <hyperlink ref="I51" r:id="rId32"/>
    <hyperlink ref="I50" r:id="rId33"/>
    <hyperlink ref="I64" r:id="rId34"/>
    <hyperlink ref="I17" r:id="rId35"/>
    <hyperlink ref="I18" r:id="rId36"/>
    <hyperlink ref="I92" r:id="rId37"/>
    <hyperlink ref="I91" r:id="rId38"/>
    <hyperlink ref="I105" r:id="rId39"/>
    <hyperlink ref="I52" r:id="rId40" display="MSA Not Signed"/>
    <hyperlink ref="I112" r:id="rId41"/>
    <hyperlink ref="I111" r:id="rId42"/>
    <hyperlink ref="I86" r:id="rId43"/>
    <hyperlink ref="I78" r:id="rId44"/>
    <hyperlink ref="I74" r:id="rId45"/>
    <hyperlink ref="I72" r:id="rId46" display="Signed"/>
    <hyperlink ref="I70" r:id="rId47" display="Signed"/>
    <hyperlink ref="I69" r:id="rId48"/>
    <hyperlink ref="I68" r:id="rId49"/>
    <hyperlink ref="I66" r:id="rId50"/>
    <hyperlink ref="I62" r:id="rId51" display="MSA Not Signed"/>
    <hyperlink ref="I61" r:id="rId52"/>
    <hyperlink ref="I43" r:id="rId53"/>
    <hyperlink ref="I42" r:id="rId54" display="https://viscositynorthamerica.sharepoint.com/sites/VNA-Sales/Shared%20Documents/General/Contracts/HRL/5%20-%20Agreements/Signed/Consultant%20Agreement%20Viscosity%20North%20America%20211033-HC%20-%20FS.pdf"/>
    <hyperlink ref="I35" r:id="rId55"/>
    <hyperlink ref="I33" r:id="rId56" display="MSA Signed Copy"/>
    <hyperlink ref="I30" r:id="rId57" display="Consulting Service Agreement_CSA_Signed"/>
    <hyperlink ref="I27" r:id="rId58" display="https://viscositynorthamerica.sharepoint.com/sites/VNA-Sales/Shared%20Documents/General/Contracts/Computex/Agreements/03-02-2021_Computex_Master_Contracting_Agreement_-_Viscosity_Redlines_-_Computex_Reply.pdf"/>
    <hyperlink ref="I14" r:id="rId59" display="BMW VNA MSA - DW 040920 V1"/>
    <hyperlink ref="I25" r:id="rId60" display="MSA Signed Copy"/>
    <hyperlink ref="I7" r:id="rId61" display="Not signed "/>
    <hyperlink ref="I5" r:id="rId62"/>
    <hyperlink ref="I60" r:id="rId63" display="Oracle Security Assessment"/>
    <hyperlink ref="I16" r:id="rId64" display="../../../../../../:b:/s/VNA-Sales/EWWMkPXy4TNElIf3Ull4e_MBVlGe5fnzA8mFicYiRA0OcQ?e=Tu68UO"/>
    <hyperlink ref="I58" r:id="rId65" display="../../../../../../:b:/s/VNA-Sales/EevF4jSXEY1HphW6q5yMbZcBu3MU1Ymg_ree_yBYKDZxDA?e=ajkWMV"/>
    <hyperlink ref="I71" r:id="rId66" display="https://viscositynorthamerica.sharepoint.com/:b:/s/VNA-Sales/EbS0r_ZhCihHsUZkErPXmXMBisbu2lEIuCWG-DHqRhs76g?e=xoDkbU"/>
    <hyperlink ref="I115" r:id="rId67" display="../../../../../../:b:/s/VNA-Sales/EaUT3k_plNxOsnxwFRNtMCsBs3NsA95V7hUqBVzU1ezV9w?e=IhXFv3"/>
    <hyperlink ref="I6" r:id="rId68" display="../../../../../../:b:/s/VNA-Sales/Ef_69GQoahVKrZ4ztsdwCUMBZw4y5icVsKvGdO6Weq8-bA?e=FwVLaT"/>
    <hyperlink ref="I22" r:id="rId69" display="../../../../../../:b:/s/VNA-Sales/ES0EXL_bTjpJrc-HUjDiMToBooLvoqoG61QGJv_YfLcJ4g?e=ssxZyM"/>
    <hyperlink ref="I47" r:id="rId70" display="../../../../../../:b:/s/VNA-Sales/ESwy-5N0PatHs9PtJQFKBhwBhLcsyOB7UtrNxfsbynf1XQ?e=RZOQdy"/>
    <hyperlink ref="I75" r:id="rId71" display="../../../../../../:b:/s/VNA-Sales/EYPVH2v2qZxPlAQrRo4t0YkBgOmdwZBExig4vNPUrIE0jQ?e=Nn4BL7"/>
    <hyperlink ref="I76" r:id="rId72" display="../../../../../../:b:/s/VNA-Sales/ERrBBhK608pHk_FZYJG2FXkBkvGUQug6piGik1auLORwHA?e=Z6veZO"/>
    <hyperlink ref="I45" r:id="rId73" display="../../../../../../:b:/s/VNA-Sales/EQjKj_NlKmtBtAz2_JFrmU4BuzlWXWhtenld82SODHyBEA?e=IHklai"/>
    <hyperlink ref="I44" r:id="rId74" display="../../../../../../:b:/s/VNA-Sales/EUc916_sII1PsstJ-prOnJEBm63k4XBJNywwptvjdnLYlw?e=Okiegy"/>
    <hyperlink ref="I107" r:id="rId75" display="https://viscositynorthamerica.sharepoint.com/:b:/s/VNA-Sales/EUwO5c1sHUdEpsdOq5wNjaIBQgwzapjavKnJQaJaQB4Mrg?e=iu48Eg"/>
    <hyperlink ref="I31" r:id="rId76" display="../../../../../../:b:/s/VNA-Sales/ETK7bIlRxA1GqSKg5_aDWrYBZi0jpElTXB8ueqq7sobvPg?e=ejKwGa"/>
    <hyperlink ref="I21" r:id="rId77" display="../../../../../../:b:/s/VNA-Sales/EaF_rFmD4LlHhmSUT3CBz08B3CXw1EQVaUb_ususoNqjDw?e=b8v76P"/>
    <hyperlink ref="I9" r:id="rId78" display="../../../../../../:b:/s/VNA-Sales/EcUU4UpqQ-pGvGU6IX-RBi0BWaBrqn7XLTZCLjsmVZv8Ig?e=heSB31"/>
    <hyperlink ref="I54" r:id="rId79"/>
    <hyperlink ref="I11" r:id="rId80"/>
    <hyperlink ref="I10" r:id="rId81"/>
    <hyperlink ref="I99" r:id="rId82"/>
    <hyperlink ref="I113" r:id="rId83"/>
    <hyperlink ref="I98" r:id="rId84"/>
    <hyperlink ref="I94" r:id="rId85"/>
    <hyperlink ref="I93" r:id="rId86"/>
    <hyperlink ref="I13" r:id="rId87"/>
    <hyperlink ref="I12" r:id="rId88"/>
    <hyperlink ref="I84" r:id="rId89"/>
    <hyperlink ref="I83" r:id="rId90"/>
    <hyperlink ref="I77" r:id="rId91"/>
    <hyperlink ref="I4" r:id="rId92"/>
    <hyperlink ref="I97" r:id="rId93"/>
  </hyperlinks>
  <pageMargins left="0.7" right="0.7" top="0.75" bottom="0.75" header="0.3" footer="0.3"/>
  <pageSetup orientation="portrait" r:id="rId94"/>
  <legacyDrawing r:id="rId95"/>
  <tableParts count="1">
    <tablePart r:id="rId96"/>
  </tableParts>
  <extLst>
    <ext xmlns:x14="http://schemas.microsoft.com/office/spreadsheetml/2009/9/main" uri="{CCE6A557-97BC-4b89-ADB6-D9C93CAAB3DF}">
      <x14:dataValidations xmlns:xm="http://schemas.microsoft.com/office/excel/2006/main" count="4">
        <x14:dataValidation type="list" allowBlank="1" showInputMessage="1" showErrorMessage="1">
          <x14:formula1>
            <xm:f>'Settings &amp; Instructions'!$D$2:$D$6</xm:f>
          </x14:formula1>
          <xm:sqref>C105:C109 E94 C94 D3:E93 D1:E1 D95:E1048576</xm:sqref>
        </x14:dataValidation>
        <x14:dataValidation type="list" allowBlank="1" showInputMessage="1" showErrorMessage="1">
          <x14:formula1>
            <xm:f>'Settings &amp; Instructions'!$A$2:$A$19</xm:f>
          </x14:formula1>
          <xm:sqref>F3:F120</xm:sqref>
        </x14:dataValidation>
        <x14:dataValidation type="list" allowBlank="1" showInputMessage="1" showErrorMessage="1">
          <x14:formula1>
            <xm:f>'Settings &amp; Instructions'!$E$2:$E$7</xm:f>
          </x14:formula1>
          <xm:sqref>L9 L112:L118</xm:sqref>
        </x14:dataValidation>
        <x14:dataValidation type="list" allowBlank="1" showInputMessage="1" showErrorMessage="1">
          <x14:formula1>
            <xm:f>'Settings &amp; Instructions'!$C$2:$C$14</xm:f>
          </x14:formula1>
          <xm:sqref>G3:G8 G10:G120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tabColor theme="7" tint="0.59999389629810485"/>
  </sheetPr>
  <dimension ref="A1:F14"/>
  <sheetViews>
    <sheetView showGridLines="0" workbookViewId="0">
      <selection activeCell="A3" sqref="A3"/>
    </sheetView>
  </sheetViews>
  <sheetFormatPr defaultRowHeight="15"/>
  <cols>
    <col min="1" max="1" width="17.140625" customWidth="1"/>
    <col min="2" max="2" width="18.42578125" customWidth="1"/>
    <col min="3" max="3" width="20" customWidth="1"/>
    <col min="4" max="4" width="22.5703125" customWidth="1"/>
    <col min="5" max="5" width="63.42578125" bestFit="1" customWidth="1"/>
    <col min="6" max="6" width="80" bestFit="1" customWidth="1"/>
  </cols>
  <sheetData>
    <row r="1" spans="1:6" ht="23.25">
      <c r="A1" s="241" t="s">
        <v>239</v>
      </c>
    </row>
    <row r="2" spans="1:6" s="238" customFormat="1">
      <c r="A2" s="300" t="s">
        <v>240</v>
      </c>
      <c r="B2" s="300" t="s">
        <v>241</v>
      </c>
      <c r="C2" s="300" t="s">
        <v>242</v>
      </c>
      <c r="D2" s="300" t="s">
        <v>243</v>
      </c>
      <c r="E2" s="300" t="s">
        <v>44</v>
      </c>
      <c r="F2" s="300" t="s">
        <v>37</v>
      </c>
    </row>
    <row r="3" spans="1:6">
      <c r="A3" t="s">
        <v>244</v>
      </c>
      <c r="B3" t="s">
        <v>245</v>
      </c>
      <c r="D3" s="237"/>
      <c r="E3" s="237" t="s">
        <v>246</v>
      </c>
      <c r="F3" t="s">
        <v>247</v>
      </c>
    </row>
    <row r="4" spans="1:6">
      <c r="A4" t="s">
        <v>244</v>
      </c>
      <c r="D4" s="237"/>
      <c r="E4" s="237" t="s">
        <v>54</v>
      </c>
    </row>
    <row r="5" spans="1:6">
      <c r="A5" t="s">
        <v>248</v>
      </c>
      <c r="B5" t="s">
        <v>249</v>
      </c>
      <c r="C5" t="s">
        <v>250</v>
      </c>
      <c r="D5" t="s">
        <v>250</v>
      </c>
      <c r="E5" s="237" t="s">
        <v>251</v>
      </c>
      <c r="F5" t="s">
        <v>252</v>
      </c>
    </row>
    <row r="6" spans="1:6">
      <c r="A6" t="s">
        <v>101</v>
      </c>
      <c r="B6" t="s">
        <v>245</v>
      </c>
      <c r="C6" t="s">
        <v>253</v>
      </c>
      <c r="D6" t="s">
        <v>254</v>
      </c>
      <c r="E6" s="237" t="s">
        <v>251</v>
      </c>
      <c r="F6" t="s">
        <v>255</v>
      </c>
    </row>
    <row r="7" spans="1:6">
      <c r="A7" t="s">
        <v>216</v>
      </c>
      <c r="B7" t="s">
        <v>245</v>
      </c>
      <c r="D7" t="s">
        <v>256</v>
      </c>
      <c r="E7" s="237" t="s">
        <v>251</v>
      </c>
      <c r="F7" t="s">
        <v>257</v>
      </c>
    </row>
    <row r="8" spans="1:6">
      <c r="A8" t="s">
        <v>216</v>
      </c>
      <c r="B8" t="s">
        <v>245</v>
      </c>
      <c r="D8" t="s">
        <v>256</v>
      </c>
      <c r="E8" s="237" t="s">
        <v>258</v>
      </c>
    </row>
    <row r="9" spans="1:6">
      <c r="A9" t="s">
        <v>259</v>
      </c>
    </row>
    <row r="10" spans="1:6">
      <c r="A10" t="s">
        <v>260</v>
      </c>
    </row>
    <row r="11" spans="1:6">
      <c r="A11" t="s">
        <v>261</v>
      </c>
    </row>
    <row r="12" spans="1:6">
      <c r="A12" t="s">
        <v>262</v>
      </c>
      <c r="E12" s="237" t="s">
        <v>263</v>
      </c>
    </row>
    <row r="13" spans="1:6">
      <c r="A13" t="s">
        <v>264</v>
      </c>
    </row>
    <row r="14" spans="1:6">
      <c r="A14" t="s">
        <v>265</v>
      </c>
    </row>
  </sheetData>
  <hyperlinks>
    <hyperlink ref="E8" r:id="rId1" display="Executed 06.03.2023"/>
    <hyperlink ref="E7" r:id="rId2"/>
    <hyperlink ref="E6" r:id="rId3"/>
    <hyperlink ref="E5" r:id="rId4"/>
    <hyperlink ref="E12" r:id="rId5" display="https://viscositynorthamerica.sharepoint.com/:b:/s/VNA-Sales/EWVbCJlHLRdJhfXV9agWp5MB0w5u1TOFMudGLqJ98Fg3vA?e=sbNQ5H"/>
    <hyperlink ref="E3" r:id="rId6" display="../../../../../../:w:/s/VNA-Sales/EaS3-A6nroFKl65v93fGL70BnkF1aADcPiI_KnN2Ej9FsQ?e=i3Yfxf"/>
    <hyperlink ref="E4" r:id="rId7"/>
  </hyperlinks>
  <pageMargins left="0.7" right="0.7" top="0.75" bottom="0.75" header="0.3" footer="0.3"/>
  <tableParts count="1">
    <tablePart r:id="rId8"/>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tabColor rgb="FFEEACAC"/>
  </sheetPr>
  <dimension ref="B1:AO213"/>
  <sheetViews>
    <sheetView showGridLines="0" topLeftCell="A198" zoomScaleNormal="100" zoomScaleSheetLayoutView="50" workbookViewId="0">
      <selection activeCell="C203" sqref="C203"/>
    </sheetView>
  </sheetViews>
  <sheetFormatPr defaultColWidth="8.7109375" defaultRowHeight="38.450000000000003" customHeight="1" outlineLevelCol="1"/>
  <cols>
    <col min="1" max="1" width="1.42578125" style="52" customWidth="1"/>
    <col min="2" max="2" width="29.42578125" style="57" bestFit="1" customWidth="1"/>
    <col min="3" max="3" width="28.7109375" style="155" customWidth="1"/>
    <col min="4" max="4" width="13.7109375" bestFit="1" customWidth="1"/>
    <col min="5" max="5" width="17.85546875" bestFit="1" customWidth="1"/>
    <col min="6" max="6" width="15.140625" style="206" bestFit="1" customWidth="1"/>
    <col min="7" max="7" width="16.140625" style="72" bestFit="1" customWidth="1" collapsed="1"/>
    <col min="8" max="8" width="15" style="57" bestFit="1" customWidth="1"/>
    <col min="9" max="9" width="76.5703125" style="51" bestFit="1" customWidth="1" collapsed="1"/>
    <col min="10" max="10" width="27.28515625" style="72" bestFit="1" customWidth="1"/>
    <col min="11" max="11" width="16.42578125" style="140" bestFit="1" customWidth="1"/>
    <col min="12" max="12" width="12.5703125" style="91" bestFit="1" customWidth="1"/>
    <col min="13" max="13" width="11" style="57" bestFit="1" customWidth="1"/>
    <col min="14" max="14" width="13.42578125" style="57" bestFit="1" customWidth="1"/>
    <col min="15" max="15" width="13.28515625" bestFit="1" customWidth="1"/>
    <col min="16" max="16" width="15.140625" style="111" customWidth="1" outlineLevel="1"/>
    <col min="17" max="17" width="12.7109375" style="236" bestFit="1" customWidth="1" outlineLevel="1"/>
    <col min="18" max="18" width="13.140625" style="52" bestFit="1" customWidth="1" outlineLevel="1"/>
    <col min="19" max="19" width="16.7109375" style="52" bestFit="1" customWidth="1" outlineLevel="1"/>
    <col min="20" max="20" width="15.140625" style="52" bestFit="1" customWidth="1" outlineLevel="1"/>
    <col min="21" max="21" width="13.85546875" style="51" bestFit="1" customWidth="1" outlineLevel="1"/>
    <col min="22" max="22" width="12.42578125" bestFit="1" customWidth="1"/>
    <col min="23" max="23" width="16.7109375" style="52" bestFit="1" customWidth="1"/>
    <col min="24" max="24" width="17" style="92" bestFit="1" customWidth="1"/>
    <col min="25" max="25" width="175.7109375" style="52" bestFit="1" customWidth="1"/>
    <col min="26" max="26" width="16.28515625" style="52" customWidth="1"/>
    <col min="27" max="27" width="4.140625" style="92" bestFit="1" customWidth="1"/>
    <col min="28" max="28" width="3.5703125" style="94" bestFit="1" customWidth="1"/>
    <col min="29" max="29" width="93.5703125" style="112" customWidth="1"/>
    <col min="30" max="30" width="103.7109375" style="52" customWidth="1"/>
    <col min="31" max="31" width="69.42578125" style="72" bestFit="1" customWidth="1"/>
    <col min="32" max="32" width="15.5703125" style="51" bestFit="1" customWidth="1"/>
    <col min="33" max="33" width="20.28515625" style="52" bestFit="1" customWidth="1"/>
    <col min="34" max="34" width="8.42578125" style="52" bestFit="1" customWidth="1"/>
    <col min="35" max="35" width="7.7109375" style="52" customWidth="1"/>
    <col min="36" max="16384" width="8.7109375" style="52"/>
  </cols>
  <sheetData>
    <row r="1" spans="2:32" ht="23.25">
      <c r="B1" s="317" t="s">
        <v>266</v>
      </c>
      <c r="C1" s="52"/>
      <c r="E1" s="206"/>
      <c r="F1" s="72"/>
      <c r="G1" s="57"/>
      <c r="H1" s="51"/>
      <c r="I1" s="72"/>
      <c r="J1" s="140"/>
      <c r="K1" s="91"/>
      <c r="L1" s="57"/>
      <c r="N1"/>
      <c r="O1" s="111"/>
      <c r="P1" s="236"/>
      <c r="Q1" s="52"/>
      <c r="T1" s="51"/>
      <c r="U1" s="52"/>
      <c r="V1" s="92"/>
      <c r="X1" s="52"/>
      <c r="Y1" s="92"/>
      <c r="Z1" s="94"/>
      <c r="AA1" s="112"/>
      <c r="AB1" s="52"/>
      <c r="AC1" s="72"/>
      <c r="AD1" s="51"/>
      <c r="AE1" s="52"/>
      <c r="AF1" s="52"/>
    </row>
    <row r="2" spans="2:32" s="165" customFormat="1" ht="38.450000000000003" customHeight="1">
      <c r="B2" s="165" t="s">
        <v>267</v>
      </c>
      <c r="C2" s="165" t="s">
        <v>1</v>
      </c>
      <c r="D2" s="318" t="s">
        <v>268</v>
      </c>
      <c r="E2" s="165" t="s">
        <v>5</v>
      </c>
      <c r="F2" s="165" t="s">
        <v>6</v>
      </c>
      <c r="G2" s="165" t="s">
        <v>7</v>
      </c>
      <c r="H2" s="165" t="s">
        <v>11</v>
      </c>
      <c r="I2" s="319" t="s">
        <v>269</v>
      </c>
      <c r="J2" s="318" t="s">
        <v>270</v>
      </c>
      <c r="K2" s="165" t="s">
        <v>9</v>
      </c>
      <c r="L2" s="165" t="s">
        <v>10</v>
      </c>
      <c r="M2" s="165" t="s">
        <v>271</v>
      </c>
      <c r="N2" s="165" t="s">
        <v>272</v>
      </c>
      <c r="O2" s="165" t="s">
        <v>273</v>
      </c>
      <c r="P2" s="165" t="s">
        <v>274</v>
      </c>
      <c r="Q2" s="165" t="s">
        <v>275</v>
      </c>
      <c r="R2" s="320" t="s">
        <v>276</v>
      </c>
      <c r="S2" s="320" t="s">
        <v>277</v>
      </c>
      <c r="T2" s="165" t="s">
        <v>278</v>
      </c>
      <c r="U2" s="165" t="s">
        <v>12</v>
      </c>
      <c r="V2" s="321" t="s">
        <v>13</v>
      </c>
      <c r="W2" s="165" t="s">
        <v>14</v>
      </c>
      <c r="X2" s="165" t="s">
        <v>36</v>
      </c>
      <c r="Y2" s="320" t="s">
        <v>279</v>
      </c>
      <c r="AA2" s="165" t="s">
        <v>39</v>
      </c>
      <c r="AB2" s="165" t="s">
        <v>40</v>
      </c>
    </row>
    <row r="3" spans="2:32" ht="38.450000000000003" customHeight="1">
      <c r="B3" s="275" t="s">
        <v>42</v>
      </c>
      <c r="C3" s="155" t="s">
        <v>41</v>
      </c>
      <c r="D3" s="206" t="s">
        <v>132</v>
      </c>
      <c r="E3" s="221" t="s">
        <v>158</v>
      </c>
      <c r="F3" s="221" t="s">
        <v>175</v>
      </c>
      <c r="G3" s="279">
        <v>44979</v>
      </c>
      <c r="H3" s="93"/>
      <c r="I3" s="266" t="s">
        <v>280</v>
      </c>
      <c r="J3" s="278" t="str">
        <f>IFERROR(VLOOKUP(Agreements!B123,'QB Consolidated Contacts'!$A$1:$F$333,6),"-")</f>
        <v>-</v>
      </c>
      <c r="K3" s="276"/>
      <c r="L3" s="276"/>
      <c r="M3" s="276"/>
      <c r="N3" s="275"/>
      <c r="O3" s="276"/>
      <c r="P3" s="272"/>
      <c r="Q3" s="272"/>
      <c r="R3" s="273"/>
      <c r="S3" s="273"/>
      <c r="T3" s="274"/>
      <c r="U3" s="92"/>
      <c r="V3" s="93">
        <f>IFERROR(EDATE(Agreements!U123,Agreements!V123),"")</f>
        <v>0</v>
      </c>
      <c r="W3" s="92">
        <f ca="1">IFERROR(Agreements!W123-TODAY(),"")</f>
        <v>-46093</v>
      </c>
      <c r="X3" s="92" t="str">
        <f ca="1">IF(SOWS[[#This Row],[Days to Contract End]]&lt;=90,"R",IF(AND(SOWS[[#This Row],[Days to Contract End]]&lt;180),"A","G"))</f>
        <v>R</v>
      </c>
      <c r="Y3" s="235"/>
      <c r="AA3" s="52"/>
      <c r="AB3" s="52"/>
      <c r="AC3" s="52"/>
      <c r="AE3" s="52"/>
      <c r="AF3" s="52"/>
    </row>
    <row r="4" spans="2:32" ht="38.450000000000003" customHeight="1">
      <c r="B4" s="275" t="s">
        <v>42</v>
      </c>
      <c r="C4" s="155" t="s">
        <v>41</v>
      </c>
      <c r="D4" s="206" t="s">
        <v>132</v>
      </c>
      <c r="E4" s="221" t="s">
        <v>158</v>
      </c>
      <c r="F4" s="221" t="s">
        <v>175</v>
      </c>
      <c r="G4" s="279"/>
      <c r="H4" s="93">
        <v>44586</v>
      </c>
      <c r="I4" s="267" t="s">
        <v>281</v>
      </c>
      <c r="J4" s="91" t="str">
        <f>IFERROR(VLOOKUP(C4,'QB Consolidated Contacts'!$A$1:$F$333,6),"-")</f>
        <v>Prakash Rikhilal</v>
      </c>
      <c r="K4" s="276" t="s">
        <v>39</v>
      </c>
      <c r="L4" s="276"/>
      <c r="M4" s="276" t="s">
        <v>108</v>
      </c>
      <c r="N4" s="275" t="s">
        <v>39</v>
      </c>
      <c r="O4" s="276"/>
      <c r="P4" s="275" t="s">
        <v>282</v>
      </c>
      <c r="Q4" s="275"/>
      <c r="R4" s="273"/>
      <c r="S4" s="273">
        <v>229600</v>
      </c>
      <c r="T4" s="274">
        <v>1312</v>
      </c>
      <c r="U4" s="92" t="s">
        <v>46</v>
      </c>
      <c r="V4" s="93" t="str">
        <f t="shared" ref="V4:V10" si="0">IFERROR(EDATE(H4,U4),"")</f>
        <v/>
      </c>
      <c r="W4" s="92" t="str">
        <f t="shared" ref="W4:W10" ca="1" si="1">IFERROR(V4-TODAY(),"")</f>
        <v/>
      </c>
      <c r="X4" s="92" t="str">
        <f ca="1">IF(SOWS[[#This Row],[Days to Contract End]]&lt;=90,"R",IF(AND(SOWS[[#This Row],[Days to Contract End]]&lt;180),"A","G"))</f>
        <v>G</v>
      </c>
      <c r="Y4" s="235"/>
      <c r="AA4" s="52"/>
      <c r="AB4" s="52"/>
      <c r="AC4" s="52"/>
      <c r="AE4" s="52"/>
      <c r="AF4" s="52"/>
    </row>
    <row r="5" spans="2:32" ht="38.450000000000003" customHeight="1">
      <c r="B5" s="275" t="s">
        <v>42</v>
      </c>
      <c r="C5" s="155" t="s">
        <v>41</v>
      </c>
      <c r="D5" s="206" t="s">
        <v>132</v>
      </c>
      <c r="E5" s="221" t="s">
        <v>158</v>
      </c>
      <c r="F5" s="221" t="s">
        <v>175</v>
      </c>
      <c r="G5" s="279"/>
      <c r="H5" s="93">
        <v>44621</v>
      </c>
      <c r="I5" s="267" t="s">
        <v>283</v>
      </c>
      <c r="J5" s="91" t="str">
        <f>IFERROR(VLOOKUP(C5,'QB Consolidated Contacts'!$A$1:$F$333,6),"-")</f>
        <v>Prakash Rikhilal</v>
      </c>
      <c r="K5" s="276" t="s">
        <v>39</v>
      </c>
      <c r="L5" s="276"/>
      <c r="M5" s="276" t="s">
        <v>108</v>
      </c>
      <c r="N5" s="275" t="s">
        <v>39</v>
      </c>
      <c r="O5" s="277" t="s">
        <v>284</v>
      </c>
      <c r="P5" s="275" t="s">
        <v>282</v>
      </c>
      <c r="Q5" s="275"/>
      <c r="R5" s="273"/>
      <c r="S5" s="273">
        <v>91000</v>
      </c>
      <c r="T5" s="274">
        <v>520</v>
      </c>
      <c r="U5" s="92" t="s">
        <v>46</v>
      </c>
      <c r="V5" s="93" t="str">
        <f t="shared" si="0"/>
        <v/>
      </c>
      <c r="W5" s="92" t="str">
        <f t="shared" ca="1" si="1"/>
        <v/>
      </c>
      <c r="X5" s="92" t="str">
        <f ca="1">IF(SOWS[[#This Row],[Days to Contract End]]&lt;=90,"R",IF(AND(SOWS[[#This Row],[Days to Contract End]]&lt;180),"A","G"))</f>
        <v>G</v>
      </c>
      <c r="Y5" s="235"/>
      <c r="AA5" s="52"/>
      <c r="AB5" s="52"/>
      <c r="AC5" s="52"/>
      <c r="AE5" s="52"/>
      <c r="AF5" s="52"/>
    </row>
    <row r="6" spans="2:32" ht="38.450000000000003" customHeight="1">
      <c r="B6" s="275" t="s">
        <v>42</v>
      </c>
      <c r="C6" s="155" t="s">
        <v>41</v>
      </c>
      <c r="D6" s="206" t="s">
        <v>132</v>
      </c>
      <c r="E6" s="221" t="s">
        <v>158</v>
      </c>
      <c r="F6" s="221" t="s">
        <v>175</v>
      </c>
      <c r="G6" s="279">
        <v>45069</v>
      </c>
      <c r="H6" s="93">
        <v>45063</v>
      </c>
      <c r="I6" s="266" t="s">
        <v>285</v>
      </c>
      <c r="J6" s="91" t="str">
        <f>IFERROR(VLOOKUP(C6,'QB Consolidated Contacts'!$A$1:$F$333,6),"-")</f>
        <v>Prakash Rikhilal</v>
      </c>
      <c r="K6" s="276" t="s">
        <v>39</v>
      </c>
      <c r="L6" s="276" t="s">
        <v>39</v>
      </c>
      <c r="M6" s="276" t="s">
        <v>108</v>
      </c>
      <c r="N6" s="275"/>
      <c r="O6" s="276"/>
      <c r="P6" s="272"/>
      <c r="Q6" s="272"/>
      <c r="R6" s="273"/>
      <c r="S6" s="273"/>
      <c r="T6" s="274" t="s">
        <v>286</v>
      </c>
      <c r="U6" s="92" t="s">
        <v>46</v>
      </c>
      <c r="V6" s="93" t="str">
        <f t="shared" si="0"/>
        <v/>
      </c>
      <c r="W6" s="92" t="str">
        <f t="shared" ca="1" si="1"/>
        <v/>
      </c>
      <c r="X6" s="92" t="str">
        <f ca="1">IF(SOWS[[#This Row],[Days to Contract End]]&lt;=90,"R",IF(AND(SOWS[[#This Row],[Days to Contract End]]&lt;180),"A","G"))</f>
        <v>G</v>
      </c>
      <c r="Y6" s="235"/>
      <c r="AA6" s="52"/>
      <c r="AB6" s="52"/>
      <c r="AC6" s="52"/>
      <c r="AE6" s="52"/>
      <c r="AF6" s="52"/>
    </row>
    <row r="7" spans="2:32" ht="38.450000000000003" customHeight="1">
      <c r="B7" s="275" t="s">
        <v>42</v>
      </c>
      <c r="C7" s="155" t="s">
        <v>41</v>
      </c>
      <c r="D7" s="206" t="s">
        <v>132</v>
      </c>
      <c r="E7" s="221" t="s">
        <v>158</v>
      </c>
      <c r="F7" s="221" t="s">
        <v>175</v>
      </c>
      <c r="G7" s="279"/>
      <c r="H7" s="93">
        <v>45214</v>
      </c>
      <c r="I7" s="266" t="s">
        <v>287</v>
      </c>
      <c r="J7" s="91" t="str">
        <f>IFERROR(VLOOKUP(C7,'QB Consolidated Contacts'!$A$1:$F$333,6),"-")</f>
        <v>Prakash Rikhilal</v>
      </c>
      <c r="K7" s="276" t="s">
        <v>39</v>
      </c>
      <c r="L7" s="276" t="s">
        <v>39</v>
      </c>
      <c r="M7" s="276" t="s">
        <v>108</v>
      </c>
      <c r="N7" s="275" t="s">
        <v>39</v>
      </c>
      <c r="O7" s="276"/>
      <c r="P7" s="272"/>
      <c r="Q7" s="272"/>
      <c r="R7" s="273"/>
      <c r="S7" s="273"/>
      <c r="T7" s="274">
        <f>332+24</f>
        <v>356</v>
      </c>
      <c r="U7" s="92" t="s">
        <v>220</v>
      </c>
      <c r="V7" s="93" t="str">
        <f t="shared" si="0"/>
        <v/>
      </c>
      <c r="W7" s="92" t="str">
        <f t="shared" ca="1" si="1"/>
        <v/>
      </c>
      <c r="X7" s="92" t="str">
        <f ca="1">IF(SOWS[[#This Row],[Days to Contract End]]&lt;=90,"R",IF(AND(SOWS[[#This Row],[Days to Contract End]]&lt;180),"A","G"))</f>
        <v>G</v>
      </c>
      <c r="Y7" s="235"/>
      <c r="AA7" s="52"/>
      <c r="AB7" s="52"/>
      <c r="AC7" s="52"/>
      <c r="AE7" s="52"/>
      <c r="AF7" s="52"/>
    </row>
    <row r="8" spans="2:32" ht="38.450000000000003" customHeight="1">
      <c r="B8" s="275" t="s">
        <v>51</v>
      </c>
      <c r="C8" s="155" t="s">
        <v>41</v>
      </c>
      <c r="D8" s="206" t="s">
        <v>132</v>
      </c>
      <c r="E8" s="221" t="s">
        <v>158</v>
      </c>
      <c r="F8" s="221" t="s">
        <v>288</v>
      </c>
      <c r="G8" s="279"/>
      <c r="H8" s="93">
        <v>44739</v>
      </c>
      <c r="I8" s="266" t="s">
        <v>289</v>
      </c>
      <c r="J8" s="91" t="str">
        <f>IFERROR(VLOOKUP(C8,'QB Consolidated Contacts'!$A$1:$F$333,6),"-")</f>
        <v>Prakash Rikhilal</v>
      </c>
      <c r="K8" s="276" t="s">
        <v>39</v>
      </c>
      <c r="L8" s="276"/>
      <c r="M8" s="276" t="s">
        <v>108</v>
      </c>
      <c r="N8" s="275" t="s">
        <v>39</v>
      </c>
      <c r="O8" s="276"/>
      <c r="P8" s="275" t="s">
        <v>290</v>
      </c>
      <c r="Q8" s="275"/>
      <c r="R8" s="273">
        <v>13410</v>
      </c>
      <c r="S8" s="273">
        <f>SOWS[[#This Row],[Monthly Budget]]*12</f>
        <v>160920</v>
      </c>
      <c r="T8" s="274">
        <f>106+106+10</f>
        <v>222</v>
      </c>
      <c r="U8" s="92">
        <v>12</v>
      </c>
      <c r="V8" s="93">
        <f t="shared" si="0"/>
        <v>45104</v>
      </c>
      <c r="W8" s="92">
        <f t="shared" ca="1" si="1"/>
        <v>-989</v>
      </c>
      <c r="X8" s="92" t="str">
        <f ca="1">IF(SOWS[[#This Row],[Days to Contract End]]&lt;=90,"R",IF(AND(SOWS[[#This Row],[Days to Contract End]]&lt;180),"A","G"))</f>
        <v>R</v>
      </c>
      <c r="Y8" s="235"/>
      <c r="AA8" s="52"/>
      <c r="AB8" s="52"/>
      <c r="AC8" s="52"/>
      <c r="AE8" s="52"/>
      <c r="AF8" s="52"/>
    </row>
    <row r="9" spans="2:32" ht="38.450000000000003" customHeight="1">
      <c r="B9" s="275" t="s">
        <v>42</v>
      </c>
      <c r="C9" s="155" t="s">
        <v>41</v>
      </c>
      <c r="D9" s="206" t="s">
        <v>132</v>
      </c>
      <c r="E9" s="221" t="s">
        <v>158</v>
      </c>
      <c r="F9" s="221" t="s">
        <v>288</v>
      </c>
      <c r="G9" s="279"/>
      <c r="H9" s="93">
        <v>44972</v>
      </c>
      <c r="I9" s="266" t="s">
        <v>291</v>
      </c>
      <c r="J9" s="91" t="str">
        <f>IFERROR(VLOOKUP(C9,'QB Consolidated Contacts'!$A$1:$F$333,6),"-")</f>
        <v>Prakash Rikhilal</v>
      </c>
      <c r="K9" s="276" t="s">
        <v>39</v>
      </c>
      <c r="L9" s="276"/>
      <c r="M9" s="276" t="s">
        <v>108</v>
      </c>
      <c r="N9" s="275" t="s">
        <v>39</v>
      </c>
      <c r="O9" s="277"/>
      <c r="P9" s="275" t="s">
        <v>282</v>
      </c>
      <c r="Q9" s="275"/>
      <c r="R9" s="273">
        <v>9000</v>
      </c>
      <c r="S9" s="273">
        <f>SOWS[[#This Row],[Monthly Budget]]*12</f>
        <v>108000</v>
      </c>
      <c r="T9" s="274" t="s">
        <v>292</v>
      </c>
      <c r="U9" s="92">
        <v>12</v>
      </c>
      <c r="V9" s="93">
        <f t="shared" si="0"/>
        <v>45337</v>
      </c>
      <c r="W9" s="92">
        <f t="shared" ca="1" si="1"/>
        <v>-756</v>
      </c>
      <c r="X9" s="92" t="str">
        <f ca="1">IF(SOWS[[#This Row],[Days to Contract End]]&lt;=90,"R",IF(AND(SOWS[[#This Row],[Days to Contract End]]&lt;180),"A","G"))</f>
        <v>R</v>
      </c>
      <c r="Y9" s="235"/>
      <c r="AA9" s="52"/>
      <c r="AB9" s="52"/>
      <c r="AC9" s="52"/>
      <c r="AE9" s="52"/>
      <c r="AF9" s="52"/>
    </row>
    <row r="10" spans="2:32" ht="38.450000000000003" customHeight="1">
      <c r="B10" s="269" t="s">
        <v>42</v>
      </c>
      <c r="C10" s="155" t="s">
        <v>41</v>
      </c>
      <c r="D10" s="206" t="s">
        <v>132</v>
      </c>
      <c r="E10" s="221" t="s">
        <v>158</v>
      </c>
      <c r="F10" s="221" t="s">
        <v>288</v>
      </c>
      <c r="G10" s="279"/>
      <c r="H10" s="93">
        <v>45108</v>
      </c>
      <c r="I10" s="270" t="s">
        <v>293</v>
      </c>
      <c r="J10" s="91" t="str">
        <f>IFERROR(VLOOKUP(C10,'QB Consolidated Contacts'!$A$1:$F$333,6),"-")</f>
        <v>Prakash Rikhilal</v>
      </c>
      <c r="K10" s="271" t="s">
        <v>39</v>
      </c>
      <c r="L10" s="271" t="s">
        <v>39</v>
      </c>
      <c r="M10" s="276" t="s">
        <v>108</v>
      </c>
      <c r="N10" s="269" t="s">
        <v>39</v>
      </c>
      <c r="O10" s="271" t="s">
        <v>294</v>
      </c>
      <c r="P10" s="272"/>
      <c r="Q10" s="272"/>
      <c r="R10" s="273"/>
      <c r="S10" s="273"/>
      <c r="T10" s="274"/>
      <c r="U10" s="92">
        <v>6</v>
      </c>
      <c r="V10" s="93">
        <f t="shared" si="0"/>
        <v>45292</v>
      </c>
      <c r="W10" s="92">
        <f t="shared" ca="1" si="1"/>
        <v>-801</v>
      </c>
      <c r="X10" s="92" t="str">
        <f ca="1">IF(SOWS[[#This Row],[Days to Contract End]]&lt;=90,"R",IF(AND(SOWS[[#This Row],[Days to Contract End]]&lt;180),"A","G"))</f>
        <v>R</v>
      </c>
      <c r="Y10" s="235"/>
      <c r="AA10" s="52"/>
      <c r="AB10" s="52"/>
      <c r="AC10" s="52"/>
      <c r="AE10" s="52"/>
      <c r="AF10" s="52"/>
    </row>
    <row r="11" spans="2:32" ht="38.450000000000003" customHeight="1">
      <c r="B11" s="275" t="s">
        <v>42</v>
      </c>
      <c r="C11" s="155" t="s">
        <v>41</v>
      </c>
      <c r="D11" s="206" t="s">
        <v>132</v>
      </c>
      <c r="E11" s="221" t="s">
        <v>158</v>
      </c>
      <c r="F11" s="221" t="s">
        <v>295</v>
      </c>
      <c r="G11" s="279"/>
      <c r="H11" s="93"/>
      <c r="I11" s="266" t="s">
        <v>296</v>
      </c>
      <c r="J11" s="91" t="str">
        <f>IFERROR(VLOOKUP(Agreements!B133,'QB Consolidated Contacts'!$A$1:$F$333,6),"-")</f>
        <v>-</v>
      </c>
      <c r="K11" s="276"/>
      <c r="L11" s="276"/>
      <c r="M11" s="276"/>
      <c r="N11" s="275"/>
      <c r="O11" s="276"/>
      <c r="P11" s="272"/>
      <c r="Q11" s="272"/>
      <c r="R11" s="273"/>
      <c r="S11" s="273"/>
      <c r="T11" s="274"/>
      <c r="U11" s="92"/>
      <c r="V11" s="93">
        <f>IFERROR(EDATE(Agreements!U133,Agreements!V133),"")</f>
        <v>0</v>
      </c>
      <c r="W11" s="92">
        <f ca="1">IFERROR(Agreements!W133-TODAY(),"")</f>
        <v>-46093</v>
      </c>
      <c r="X11" s="92" t="str">
        <f ca="1">IF(SOWS[[#This Row],[Days to Contract End]]&lt;=90,"R",IF(AND(SOWS[[#This Row],[Days to Contract End]]&lt;180),"A","G"))</f>
        <v>R</v>
      </c>
      <c r="Y11" s="235"/>
      <c r="AA11" s="52"/>
      <c r="AB11" s="52"/>
      <c r="AC11" s="52"/>
      <c r="AE11" s="52"/>
      <c r="AF11" s="52"/>
    </row>
    <row r="12" spans="2:32" ht="38.450000000000003" customHeight="1">
      <c r="B12" s="275" t="s">
        <v>42</v>
      </c>
      <c r="C12" s="155" t="s">
        <v>41</v>
      </c>
      <c r="D12" s="206" t="s">
        <v>132</v>
      </c>
      <c r="E12" s="221" t="s">
        <v>158</v>
      </c>
      <c r="F12" s="221" t="s">
        <v>288</v>
      </c>
      <c r="G12" s="279"/>
      <c r="H12" s="93">
        <v>45292</v>
      </c>
      <c r="I12" s="266" t="s">
        <v>297</v>
      </c>
      <c r="J12" s="91" t="str">
        <f>IFERROR(VLOOKUP(C12,'QB Consolidated Contacts'!$A$1:$F$333,6),"-")</f>
        <v>Prakash Rikhilal</v>
      </c>
      <c r="K12" s="276" t="s">
        <v>39</v>
      </c>
      <c r="L12" s="276" t="s">
        <v>39</v>
      </c>
      <c r="M12" s="276" t="s">
        <v>108</v>
      </c>
      <c r="N12" s="275"/>
      <c r="O12" s="276"/>
      <c r="P12" s="272"/>
      <c r="Q12" s="272"/>
      <c r="R12" s="273"/>
      <c r="S12" s="273"/>
      <c r="T12" s="274"/>
      <c r="U12" s="92" t="s">
        <v>220</v>
      </c>
      <c r="V12" s="93">
        <v>45658</v>
      </c>
      <c r="W12" s="92">
        <f ca="1">IFERROR(V12-TODAY(),"")</f>
        <v>-435</v>
      </c>
      <c r="X12" s="92" t="str">
        <f ca="1">IF(SOWS[[#This Row],[Days to Contract End]]&lt;=90,"R",IF(AND(SOWS[[#This Row],[Days to Contract End]]&lt;180),"A","G"))</f>
        <v>R</v>
      </c>
      <c r="Y12" s="235"/>
      <c r="AA12" s="52"/>
      <c r="AB12" s="52"/>
      <c r="AC12" s="52"/>
      <c r="AE12" s="52"/>
      <c r="AF12" s="52"/>
    </row>
    <row r="13" spans="2:32" ht="38.450000000000003" customHeight="1">
      <c r="B13" s="275" t="s">
        <v>42</v>
      </c>
      <c r="C13" s="155" t="s">
        <v>41</v>
      </c>
      <c r="D13" s="206" t="s">
        <v>132</v>
      </c>
      <c r="E13" s="221" t="s">
        <v>158</v>
      </c>
      <c r="F13" s="221" t="s">
        <v>288</v>
      </c>
      <c r="G13" s="279"/>
      <c r="H13" s="93"/>
      <c r="I13" s="266" t="s">
        <v>298</v>
      </c>
      <c r="J13" s="91" t="str">
        <f>IFERROR(VLOOKUP(Agreements!B134,'QB Consolidated Contacts'!$A$1:$F$333,6),"-")</f>
        <v>-</v>
      </c>
      <c r="K13" s="276"/>
      <c r="L13" s="276"/>
      <c r="M13" s="276"/>
      <c r="N13" s="275"/>
      <c r="O13" s="276"/>
      <c r="P13" s="272"/>
      <c r="Q13" s="272"/>
      <c r="R13" s="273"/>
      <c r="S13" s="273"/>
      <c r="T13" s="274"/>
      <c r="U13" s="92"/>
      <c r="V13" s="93">
        <f>IFERROR(EDATE(Agreements!U134,Agreements!V134),"")</f>
        <v>0</v>
      </c>
      <c r="W13" s="92">
        <f ca="1">IFERROR(Agreements!W134-TODAY(),"")</f>
        <v>-46093</v>
      </c>
      <c r="X13" s="92" t="str">
        <f ca="1">IF(SOWS[[#This Row],[Days to Contract End]]&lt;=90,"R",IF(AND(SOWS[[#This Row],[Days to Contract End]]&lt;180),"A","G"))</f>
        <v>R</v>
      </c>
      <c r="Y13" s="235"/>
      <c r="AA13" s="52"/>
      <c r="AB13" s="52"/>
      <c r="AC13" s="52"/>
      <c r="AE13" s="52"/>
      <c r="AF13" s="52"/>
    </row>
    <row r="14" spans="2:32" ht="38.450000000000003" customHeight="1">
      <c r="B14" s="275" t="s">
        <v>42</v>
      </c>
      <c r="C14" s="155" t="s">
        <v>41</v>
      </c>
      <c r="D14" s="206" t="s">
        <v>132</v>
      </c>
      <c r="E14" s="221" t="s">
        <v>158</v>
      </c>
      <c r="F14" s="221" t="s">
        <v>175</v>
      </c>
      <c r="G14" s="279"/>
      <c r="H14" s="93"/>
      <c r="I14" s="266" t="s">
        <v>299</v>
      </c>
      <c r="J14" s="91" t="str">
        <f>IFERROR(VLOOKUP(Agreements!B135,'QB Consolidated Contacts'!$A$1:$F$333,6),"-")</f>
        <v>-</v>
      </c>
      <c r="K14" s="276"/>
      <c r="L14" s="276"/>
      <c r="M14" s="276"/>
      <c r="N14" s="275"/>
      <c r="O14" s="276"/>
      <c r="P14" s="272"/>
      <c r="Q14" s="272"/>
      <c r="R14" s="273"/>
      <c r="S14" s="273"/>
      <c r="T14" s="274"/>
      <c r="U14" s="92"/>
      <c r="V14" s="93">
        <f>IFERROR(EDATE(Agreements!U135,Agreements!V135),"")</f>
        <v>0</v>
      </c>
      <c r="W14" s="92">
        <f ca="1">IFERROR(Agreements!W135-TODAY(),"")</f>
        <v>-46093</v>
      </c>
      <c r="X14" s="92" t="str">
        <f ca="1">IF(SOWS[[#This Row],[Days to Contract End]]&lt;=90,"R",IF(AND(SOWS[[#This Row],[Days to Contract End]]&lt;180),"A","G"))</f>
        <v>R</v>
      </c>
      <c r="Y14" s="235"/>
      <c r="AA14" s="52"/>
      <c r="AB14" s="52"/>
      <c r="AC14" s="52"/>
      <c r="AE14" s="52"/>
      <c r="AF14" s="52"/>
    </row>
    <row r="15" spans="2:32" ht="38.450000000000003" customHeight="1">
      <c r="B15" s="275" t="s">
        <v>42</v>
      </c>
      <c r="C15" s="155" t="s">
        <v>41</v>
      </c>
      <c r="D15" s="206" t="s">
        <v>132</v>
      </c>
      <c r="E15" s="221" t="s">
        <v>158</v>
      </c>
      <c r="F15" s="221" t="s">
        <v>175</v>
      </c>
      <c r="G15" s="279"/>
      <c r="H15" s="93"/>
      <c r="I15" s="266" t="s">
        <v>297</v>
      </c>
      <c r="J15" s="278" t="str">
        <f>IFERROR(VLOOKUP(Agreements!B135,'QB Consolidated Contacts'!$A$1:$F$333,6),"-")</f>
        <v>-</v>
      </c>
      <c r="K15" s="276"/>
      <c r="L15" s="276"/>
      <c r="M15" s="276"/>
      <c r="N15" s="275"/>
      <c r="O15" s="276"/>
      <c r="P15" s="272"/>
      <c r="Q15" s="272"/>
      <c r="R15" s="273"/>
      <c r="S15" s="273"/>
      <c r="T15" s="274"/>
      <c r="U15" s="92"/>
      <c r="V15" s="93">
        <f>IFERROR(EDATE(Agreements!U135,Agreements!V135),"")</f>
        <v>0</v>
      </c>
      <c r="W15" s="92">
        <f ca="1">IFERROR(Agreements!W135-TODAY(),"")</f>
        <v>-46093</v>
      </c>
      <c r="X15" s="92" t="str">
        <f ca="1">IF(SOWS[[#This Row],[Days to Contract End]]&lt;=90,"R",IF(AND(SOWS[[#This Row],[Days to Contract End]]&lt;180),"A","G"))</f>
        <v>R</v>
      </c>
      <c r="Y15" s="235"/>
      <c r="AA15" s="52"/>
      <c r="AB15" s="52"/>
      <c r="AC15" s="52"/>
      <c r="AE15" s="52"/>
      <c r="AF15" s="52"/>
    </row>
    <row r="16" spans="2:32" ht="38.450000000000003" customHeight="1">
      <c r="B16" s="275" t="s">
        <v>42</v>
      </c>
      <c r="C16" s="155" t="s">
        <v>41</v>
      </c>
      <c r="D16" s="206" t="s">
        <v>132</v>
      </c>
      <c r="E16" s="221" t="s">
        <v>158</v>
      </c>
      <c r="F16" s="221" t="s">
        <v>288</v>
      </c>
      <c r="G16" s="279"/>
      <c r="H16" s="93">
        <v>45751</v>
      </c>
      <c r="I16" s="266" t="s">
        <v>300</v>
      </c>
      <c r="J16" s="278" t="str">
        <f>IFERROR(VLOOKUP(Agreements!B139,'QB Consolidated Contacts'!$A$1:$F$333,6),"-")</f>
        <v>-</v>
      </c>
      <c r="K16" s="276" t="s">
        <v>39</v>
      </c>
      <c r="L16" s="276" t="s">
        <v>39</v>
      </c>
      <c r="M16" s="276"/>
      <c r="N16" s="275"/>
      <c r="O16" s="276"/>
      <c r="P16" s="272"/>
      <c r="Q16" s="272"/>
      <c r="R16" s="273"/>
      <c r="S16" s="273"/>
      <c r="T16" s="274"/>
      <c r="U16" s="92"/>
      <c r="V16" s="93">
        <f>IFERROR(EDATE(Agreements!U139,Agreements!V139),"")</f>
        <v>0</v>
      </c>
      <c r="W16" s="92">
        <f ca="1">IFERROR(Agreements!W139-TODAY(),"")</f>
        <v>-46093</v>
      </c>
      <c r="X16" s="92" t="str">
        <f ca="1">IF(SOWS[[#This Row],[Days to Contract End]]&lt;=90,"R",IF(AND(SOWS[[#This Row],[Days to Contract End]]&lt;180),"A","G"))</f>
        <v>R</v>
      </c>
      <c r="Y16" s="235"/>
      <c r="AA16" s="52"/>
      <c r="AB16" s="52"/>
      <c r="AC16" s="52"/>
      <c r="AE16" s="52"/>
      <c r="AF16" s="52"/>
    </row>
    <row r="17" spans="2:32" ht="38.450000000000003" customHeight="1">
      <c r="B17" s="275" t="s">
        <v>42</v>
      </c>
      <c r="C17" s="155" t="s">
        <v>41</v>
      </c>
      <c r="D17" s="206" t="s">
        <v>132</v>
      </c>
      <c r="E17" s="221" t="s">
        <v>158</v>
      </c>
      <c r="F17" s="221" t="s">
        <v>288</v>
      </c>
      <c r="G17" s="279"/>
      <c r="H17" s="93"/>
      <c r="I17" s="266" t="s">
        <v>301</v>
      </c>
      <c r="J17" s="278" t="str">
        <f>IFERROR(VLOOKUP(Agreements!B138,'QB Consolidated Contacts'!$A$1:$F$333,6),"-")</f>
        <v>-</v>
      </c>
      <c r="K17" s="276" t="s">
        <v>39</v>
      </c>
      <c r="L17" s="276" t="s">
        <v>39</v>
      </c>
      <c r="M17" s="276"/>
      <c r="N17" s="275"/>
      <c r="O17" s="276"/>
      <c r="P17" s="272"/>
      <c r="Q17" s="272"/>
      <c r="R17" s="273"/>
      <c r="S17" s="273"/>
      <c r="T17" s="274"/>
      <c r="U17" s="92"/>
      <c r="V17" s="93">
        <f>IFERROR(EDATE(Agreements!U138,Agreements!V138),"")</f>
        <v>0</v>
      </c>
      <c r="W17" s="92">
        <f ca="1">IFERROR(Agreements!W138-TODAY(),"")</f>
        <v>-46093</v>
      </c>
      <c r="X17" s="92" t="str">
        <f ca="1">IF(SOWS[[#This Row],[Days to Contract End]]&lt;=90,"R",IF(AND(SOWS[[#This Row],[Days to Contract End]]&lt;180),"A","G"))</f>
        <v>R</v>
      </c>
      <c r="Y17" s="235"/>
      <c r="AA17" s="52"/>
      <c r="AB17" s="52"/>
      <c r="AC17" s="52"/>
      <c r="AE17" s="52"/>
      <c r="AF17" s="52"/>
    </row>
    <row r="18" spans="2:32" ht="38.450000000000003" customHeight="1">
      <c r="B18" s="275" t="s">
        <v>42</v>
      </c>
      <c r="C18" s="155" t="s">
        <v>41</v>
      </c>
      <c r="D18" s="206" t="s">
        <v>132</v>
      </c>
      <c r="E18" s="221" t="s">
        <v>158</v>
      </c>
      <c r="F18" s="221" t="s">
        <v>175</v>
      </c>
      <c r="G18" s="279"/>
      <c r="H18" s="93"/>
      <c r="I18" s="266" t="s">
        <v>302</v>
      </c>
      <c r="J18" s="278" t="str">
        <f>IFERROR(VLOOKUP(Agreements!B136,'QB Consolidated Contacts'!$A$1:$F$333,6),"-")</f>
        <v>-</v>
      </c>
      <c r="K18" s="276"/>
      <c r="L18" s="276"/>
      <c r="M18" s="276"/>
      <c r="N18" s="275"/>
      <c r="O18" s="276"/>
      <c r="P18" s="272"/>
      <c r="Q18" s="272"/>
      <c r="R18" s="273"/>
      <c r="S18" s="273"/>
      <c r="T18" s="274"/>
      <c r="U18" s="92"/>
      <c r="V18" s="93">
        <f>IFERROR(EDATE(Agreements!U136,Agreements!V136),"")</f>
        <v>0</v>
      </c>
      <c r="W18" s="92">
        <f ca="1">IFERROR(Agreements!W136-TODAY(),"")</f>
        <v>-46093</v>
      </c>
      <c r="X18" s="92" t="str">
        <f ca="1">IF(SOWS[[#This Row],[Days to Contract End]]&lt;=90,"R",IF(AND(SOWS[[#This Row],[Days to Contract End]]&lt;180),"A","G"))</f>
        <v>R</v>
      </c>
      <c r="Y18" s="235"/>
      <c r="AA18" s="52"/>
      <c r="AB18" s="52"/>
      <c r="AC18" s="52"/>
      <c r="AE18" s="52"/>
      <c r="AF18" s="52"/>
    </row>
    <row r="19" spans="2:32" ht="38.450000000000003" customHeight="1">
      <c r="B19" s="275" t="s">
        <v>42</v>
      </c>
      <c r="C19" s="155" t="s">
        <v>41</v>
      </c>
      <c r="D19" s="206" t="s">
        <v>132</v>
      </c>
      <c r="E19" s="221" t="s">
        <v>158</v>
      </c>
      <c r="F19" s="221" t="s">
        <v>288</v>
      </c>
      <c r="G19" s="279"/>
      <c r="H19" s="93">
        <v>45292</v>
      </c>
      <c r="I19" s="266" t="s">
        <v>298</v>
      </c>
      <c r="J19" s="91" t="str">
        <f>IFERROR(VLOOKUP(C19,'QB Consolidated Contacts'!$A$1:$F$333,6),"-")</f>
        <v>Prakash Rikhilal</v>
      </c>
      <c r="K19" s="276" t="s">
        <v>39</v>
      </c>
      <c r="L19" s="276" t="s">
        <v>39</v>
      </c>
      <c r="M19" s="276" t="s">
        <v>108</v>
      </c>
      <c r="N19" s="275"/>
      <c r="O19" s="276"/>
      <c r="P19" s="272"/>
      <c r="Q19" s="272"/>
      <c r="R19" s="273"/>
      <c r="S19" s="273"/>
      <c r="T19" s="274"/>
      <c r="U19" s="92" t="s">
        <v>220</v>
      </c>
      <c r="V19" s="93">
        <v>45657</v>
      </c>
      <c r="W19" s="92">
        <f ca="1">IFERROR(V19-TODAY(),"")</f>
        <v>-436</v>
      </c>
      <c r="X19" s="92" t="str">
        <f ca="1">IF(SOWS[[#This Row],[Days to Contract End]]&lt;=90,"R",IF(AND(SOWS[[#This Row],[Days to Contract End]]&lt;180),"A","G"))</f>
        <v>R</v>
      </c>
      <c r="Y19" s="235"/>
      <c r="AA19" s="52"/>
      <c r="AB19" s="52"/>
      <c r="AC19" s="52"/>
      <c r="AE19" s="52"/>
      <c r="AF19" s="52"/>
    </row>
    <row r="20" spans="2:32" ht="38.450000000000003" customHeight="1">
      <c r="B20" s="275" t="s">
        <v>42</v>
      </c>
      <c r="C20" s="155" t="s">
        <v>41</v>
      </c>
      <c r="D20" s="206" t="s">
        <v>132</v>
      </c>
      <c r="E20" s="221" t="s">
        <v>158</v>
      </c>
      <c r="F20" s="221" t="s">
        <v>288</v>
      </c>
      <c r="G20" s="279"/>
      <c r="H20" s="93">
        <v>45352</v>
      </c>
      <c r="I20" s="266" t="s">
        <v>302</v>
      </c>
      <c r="J20" s="91" t="str">
        <f>IFERROR(VLOOKUP(C20,'QB Consolidated Contacts'!$A$1:$F$333,6),"-")</f>
        <v>Prakash Rikhilal</v>
      </c>
      <c r="K20" s="276" t="s">
        <v>39</v>
      </c>
      <c r="L20" s="276" t="s">
        <v>39</v>
      </c>
      <c r="M20" s="276" t="s">
        <v>108</v>
      </c>
      <c r="N20" s="275"/>
      <c r="O20" s="276"/>
      <c r="P20" s="272"/>
      <c r="Q20" s="272"/>
      <c r="R20" s="273"/>
      <c r="S20" s="273"/>
      <c r="T20" s="274"/>
      <c r="U20" s="92">
        <v>10</v>
      </c>
      <c r="V20" s="93">
        <v>45657</v>
      </c>
      <c r="W20" s="92">
        <f ca="1">IFERROR(V20-TODAY(),"")</f>
        <v>-436</v>
      </c>
      <c r="X20" s="92" t="str">
        <f ca="1">IF(SOWS[[#This Row],[Days to Contract End]]&lt;=90,"R",IF(AND(SOWS[[#This Row],[Days to Contract End]]&lt;180),"A","G"))</f>
        <v>R</v>
      </c>
      <c r="Y20" s="235"/>
      <c r="AA20" s="52"/>
      <c r="AB20" s="52"/>
      <c r="AC20" s="52"/>
      <c r="AE20" s="52"/>
      <c r="AF20" s="52"/>
    </row>
    <row r="21" spans="2:32" ht="38.450000000000003" customHeight="1">
      <c r="B21" s="275" t="s">
        <v>42</v>
      </c>
      <c r="C21" s="155" t="s">
        <v>41</v>
      </c>
      <c r="D21" s="206" t="s">
        <v>132</v>
      </c>
      <c r="E21" s="221" t="s">
        <v>158</v>
      </c>
      <c r="F21" s="221" t="s">
        <v>288</v>
      </c>
      <c r="G21" s="279"/>
      <c r="H21" s="93">
        <v>45474</v>
      </c>
      <c r="I21" s="243" t="s">
        <v>303</v>
      </c>
      <c r="J21" s="278" t="str">
        <f>IFERROR(VLOOKUP(C21,'QB Consolidated Contacts'!$A$1:$F$333,6),"-")</f>
        <v>Prakash Rikhilal</v>
      </c>
      <c r="K21" s="276" t="s">
        <v>39</v>
      </c>
      <c r="L21" s="276" t="s">
        <v>39</v>
      </c>
      <c r="M21" s="276" t="s">
        <v>108</v>
      </c>
      <c r="N21" s="275" t="s">
        <v>304</v>
      </c>
      <c r="O21" s="276"/>
      <c r="P21" s="272"/>
      <c r="Q21" s="272"/>
      <c r="R21" s="273"/>
      <c r="S21" s="273"/>
      <c r="T21" s="274"/>
      <c r="U21" s="92">
        <v>6</v>
      </c>
      <c r="V21" s="93">
        <f>IFERROR(EDATE(H21,U21),"")</f>
        <v>45658</v>
      </c>
      <c r="W21" s="92">
        <f ca="1">IFERROR(V21-TODAY(),"")</f>
        <v>-435</v>
      </c>
      <c r="X21" s="92" t="str">
        <f ca="1">IF(SOWS[[#This Row],[Days to Contract End]]&lt;=90,"R",IF(AND(SOWS[[#This Row],[Days to Contract End]]&lt;180),"A","G"))</f>
        <v>R</v>
      </c>
      <c r="Y21" s="235"/>
      <c r="AA21" s="52"/>
      <c r="AB21" s="52"/>
      <c r="AC21" s="52"/>
      <c r="AE21" s="52"/>
      <c r="AF21" s="52"/>
    </row>
    <row r="22" spans="2:32" ht="38.450000000000003" customHeight="1">
      <c r="B22" s="275" t="s">
        <v>42</v>
      </c>
      <c r="C22" s="155" t="s">
        <v>41</v>
      </c>
      <c r="D22" s="206" t="s">
        <v>132</v>
      </c>
      <c r="E22" s="221" t="s">
        <v>158</v>
      </c>
      <c r="F22" s="221"/>
      <c r="G22" s="279"/>
      <c r="H22" s="93"/>
      <c r="I22" s="268" t="s">
        <v>305</v>
      </c>
      <c r="J22" s="278" t="str">
        <f>IFERROR(VLOOKUP(C22,'QB Consolidated Contacts'!$A$1:$F$333,6),"-")</f>
        <v>Prakash Rikhilal</v>
      </c>
      <c r="K22" s="276" t="s">
        <v>39</v>
      </c>
      <c r="L22" s="276" t="s">
        <v>39</v>
      </c>
      <c r="M22" s="276"/>
      <c r="N22" s="275"/>
      <c r="O22" s="276"/>
      <c r="P22" s="272"/>
      <c r="Q22" s="272"/>
      <c r="R22" s="273"/>
      <c r="S22" s="273"/>
      <c r="T22" s="274"/>
      <c r="U22" s="92"/>
      <c r="V22" s="93">
        <f>IFERROR(EDATE(Agreements!U122,Agreements!V122),"")</f>
        <v>0</v>
      </c>
      <c r="W22" s="92">
        <f ca="1">IFERROR(Agreements!W122-TODAY(),"")</f>
        <v>-46093</v>
      </c>
      <c r="X22" s="92" t="str">
        <f ca="1">IF(SOWS[[#This Row],[Days to Contract End]]&lt;=90,"R",IF(AND(SOWS[[#This Row],[Days to Contract End]]&lt;180),"A","G"))</f>
        <v>R</v>
      </c>
      <c r="Y22" s="235"/>
      <c r="AA22" s="52"/>
      <c r="AB22" s="52"/>
      <c r="AC22" s="52"/>
      <c r="AE22" s="52"/>
      <c r="AF22" s="52"/>
    </row>
    <row r="23" spans="2:32" ht="38.450000000000003" customHeight="1">
      <c r="B23" s="275" t="s">
        <v>42</v>
      </c>
      <c r="C23" s="155" t="s">
        <v>41</v>
      </c>
      <c r="D23" s="206" t="s">
        <v>132</v>
      </c>
      <c r="E23" s="221" t="s">
        <v>158</v>
      </c>
      <c r="F23" s="221" t="s">
        <v>175</v>
      </c>
      <c r="G23" s="279">
        <v>45845</v>
      </c>
      <c r="H23" s="93"/>
      <c r="I23" s="293" t="s">
        <v>306</v>
      </c>
      <c r="J23" s="278" t="str">
        <f>IFERROR(VLOOKUP(Agreements!B122,'QB Consolidated Contacts'!$A$1:$F$333,6),"-")</f>
        <v>-</v>
      </c>
      <c r="K23" s="276" t="s">
        <v>39</v>
      </c>
      <c r="L23" s="276" t="s">
        <v>39</v>
      </c>
      <c r="M23" s="276"/>
      <c r="N23" s="275"/>
      <c r="O23" s="276"/>
      <c r="P23" s="272"/>
      <c r="Q23" s="272"/>
      <c r="R23" s="273"/>
      <c r="S23" s="273"/>
      <c r="T23" s="274"/>
      <c r="U23" s="92"/>
      <c r="V23" s="93">
        <f>IFERROR(EDATE(Agreements!U122,Agreements!V122),"")</f>
        <v>0</v>
      </c>
      <c r="W23" s="92">
        <f ca="1">IFERROR(Agreements!W122-TODAY(),"")</f>
        <v>-46093</v>
      </c>
      <c r="X23" s="92" t="str">
        <f ca="1">IF(SOWS[[#This Row],[Days to Contract End]]&lt;=90,"R",IF(AND(SOWS[[#This Row],[Days to Contract End]]&lt;180),"A","G"))</f>
        <v>R</v>
      </c>
      <c r="Y23" s="235"/>
      <c r="AA23" s="52"/>
      <c r="AB23" s="52"/>
      <c r="AC23" s="52"/>
      <c r="AE23" s="52"/>
      <c r="AF23" s="52"/>
    </row>
    <row r="24" spans="2:32" ht="38.450000000000003" customHeight="1">
      <c r="B24" s="275" t="s">
        <v>42</v>
      </c>
      <c r="C24" s="155" t="s">
        <v>41</v>
      </c>
      <c r="D24" s="206" t="s">
        <v>132</v>
      </c>
      <c r="E24" s="221" t="s">
        <v>158</v>
      </c>
      <c r="F24" s="221" t="s">
        <v>175</v>
      </c>
      <c r="G24" s="279">
        <v>45838</v>
      </c>
      <c r="H24" s="93"/>
      <c r="I24" s="293" t="s">
        <v>307</v>
      </c>
      <c r="J24" s="278" t="str">
        <f>IFERROR(VLOOKUP(Agreements!B313,'QB Consolidated Contacts'!$A$1:$F$333,6),"-")</f>
        <v>-</v>
      </c>
      <c r="K24" s="276"/>
      <c r="L24" s="276"/>
      <c r="M24" s="276"/>
      <c r="N24" s="275"/>
      <c r="O24" s="276"/>
      <c r="P24" s="272"/>
      <c r="Q24" s="272"/>
      <c r="R24" s="273"/>
      <c r="S24" s="273"/>
      <c r="T24" s="274"/>
      <c r="U24" s="92"/>
      <c r="V24" s="93">
        <f>IFERROR(EDATE(Agreements!U313,Agreements!V313),"")</f>
        <v>0</v>
      </c>
      <c r="W24" s="92">
        <f ca="1">IFERROR(Agreements!W313-TODAY(),"")</f>
        <v>-46093</v>
      </c>
      <c r="X24" s="92" t="str">
        <f ca="1">IF(SOWS[[#This Row],[Days to Contract End]]&lt;=90,"R",IF(AND(SOWS[[#This Row],[Days to Contract End]]&lt;180),"A","G"))</f>
        <v>R</v>
      </c>
      <c r="Y24" s="235"/>
      <c r="AA24" s="52"/>
      <c r="AB24" s="52"/>
      <c r="AC24" s="52"/>
      <c r="AE24" s="52"/>
      <c r="AF24" s="52"/>
    </row>
    <row r="25" spans="2:32" ht="38.450000000000003" customHeight="1">
      <c r="B25" s="275" t="s">
        <v>42</v>
      </c>
      <c r="C25" s="155" t="s">
        <v>55</v>
      </c>
      <c r="D25" s="206" t="s">
        <v>132</v>
      </c>
      <c r="E25" s="221" t="s">
        <v>158</v>
      </c>
      <c r="F25" s="221" t="s">
        <v>288</v>
      </c>
      <c r="G25" s="279"/>
      <c r="H25" s="93">
        <v>44713</v>
      </c>
      <c r="I25" s="267" t="s">
        <v>308</v>
      </c>
      <c r="J25" s="91" t="str">
        <f>IFERROR(VLOOKUP(C25,'QB Consolidated Contacts'!$A$1:$F$333,6),"-")</f>
        <v>Kevin Hostintler</v>
      </c>
      <c r="K25" s="276" t="s">
        <v>39</v>
      </c>
      <c r="L25" s="276"/>
      <c r="M25" s="276" t="s">
        <v>309</v>
      </c>
      <c r="N25" s="275"/>
      <c r="O25" s="276"/>
      <c r="P25" s="275" t="s">
        <v>48</v>
      </c>
      <c r="Q25" s="275"/>
      <c r="R25" s="273"/>
      <c r="S25" s="273"/>
      <c r="T25" s="274" t="s">
        <v>310</v>
      </c>
      <c r="U25" s="92" t="s">
        <v>46</v>
      </c>
      <c r="V25" s="93" t="str">
        <f>IFERROR(EDATE(H25,U25),"")</f>
        <v/>
      </c>
      <c r="W25" s="92" t="str">
        <f ca="1">IFERROR(V25-TODAY(),"")</f>
        <v/>
      </c>
      <c r="X25" s="92" t="str">
        <f ca="1">IF(SOWS[[#This Row],[Days to Contract End]]&lt;=90,"R",IF(AND(SOWS[[#This Row],[Days to Contract End]]&lt;180),"A","G"))</f>
        <v>G</v>
      </c>
      <c r="Y25" s="235"/>
      <c r="AA25" s="52"/>
      <c r="AB25" s="52"/>
      <c r="AC25" s="52"/>
      <c r="AE25" s="52"/>
      <c r="AF25" s="52"/>
    </row>
    <row r="26" spans="2:32" ht="38.450000000000003" customHeight="1">
      <c r="B26" s="275" t="s">
        <v>42</v>
      </c>
      <c r="C26" s="155" t="s">
        <v>311</v>
      </c>
      <c r="D26" s="206" t="s">
        <v>132</v>
      </c>
      <c r="E26" s="221" t="s">
        <v>158</v>
      </c>
      <c r="F26" s="221" t="s">
        <v>288</v>
      </c>
      <c r="G26" s="279"/>
      <c r="H26" s="93">
        <v>43466</v>
      </c>
      <c r="I26" s="267" t="s">
        <v>312</v>
      </c>
      <c r="J26" s="91" t="str">
        <f>IFERROR(VLOOKUP(C26,'QB Consolidated Contacts'!$A$1:$F$333,6),"-")</f>
        <v>Christina Green</v>
      </c>
      <c r="K26" s="276" t="s">
        <v>39</v>
      </c>
      <c r="L26" s="276"/>
      <c r="M26" s="276" t="s">
        <v>309</v>
      </c>
      <c r="N26" s="275"/>
      <c r="O26" s="276"/>
      <c r="P26" s="275" t="s">
        <v>290</v>
      </c>
      <c r="Q26" s="275"/>
      <c r="R26" s="273">
        <v>4500</v>
      </c>
      <c r="S26" s="273"/>
      <c r="T26" s="274">
        <v>30</v>
      </c>
      <c r="U26" s="92" t="s">
        <v>46</v>
      </c>
      <c r="V26" s="93" t="str">
        <f>IFERROR(EDATE(H26,U26),"")</f>
        <v/>
      </c>
      <c r="W26" s="92" t="str">
        <f ca="1">IFERROR(V26-TODAY(),"")</f>
        <v/>
      </c>
      <c r="X26" s="92" t="str">
        <f ca="1">IF(SOWS[[#This Row],[Days to Contract End]]&lt;=90,"R",IF(AND(SOWS[[#This Row],[Days to Contract End]]&lt;180),"A","G"))</f>
        <v>G</v>
      </c>
      <c r="Y26" s="235"/>
      <c r="AA26" s="52"/>
      <c r="AB26" s="52"/>
      <c r="AC26" s="52"/>
      <c r="AE26" s="52"/>
      <c r="AF26" s="52"/>
    </row>
    <row r="27" spans="2:32" ht="38.450000000000003" customHeight="1">
      <c r="B27" s="275" t="s">
        <v>42</v>
      </c>
      <c r="C27" s="72" t="s">
        <v>57</v>
      </c>
      <c r="D27" s="206" t="s">
        <v>174</v>
      </c>
      <c r="E27" s="221" t="s">
        <v>158</v>
      </c>
      <c r="F27" s="221" t="s">
        <v>175</v>
      </c>
      <c r="G27" s="279"/>
      <c r="H27" s="93">
        <v>45412</v>
      </c>
      <c r="I27" s="243" t="s">
        <v>313</v>
      </c>
      <c r="J27" s="278" t="s">
        <v>314</v>
      </c>
      <c r="K27" s="276" t="s">
        <v>39</v>
      </c>
      <c r="L27" s="276" t="s">
        <v>39</v>
      </c>
      <c r="M27" s="276" t="s">
        <v>315</v>
      </c>
      <c r="N27" s="275"/>
      <c r="O27" s="276"/>
      <c r="P27" s="272"/>
      <c r="Q27" s="272"/>
      <c r="R27" s="273"/>
      <c r="S27" s="273"/>
      <c r="T27" s="274"/>
      <c r="U27" s="92">
        <v>16</v>
      </c>
      <c r="V27" s="93">
        <f>IFERROR(EDATE(H27,U27)+1,"")</f>
        <v>45900</v>
      </c>
      <c r="W27" s="92">
        <f ca="1">IFERROR(V27-TODAY(),"")</f>
        <v>-193</v>
      </c>
      <c r="X27" s="92" t="str">
        <f ca="1">IF(SOWS[[#This Row],[Days to Contract End]]&lt;=90,"R",IF(AND(SOWS[[#This Row],[Days to Contract End]]&lt;180),"A","G"))</f>
        <v>R</v>
      </c>
      <c r="Y27" s="235"/>
      <c r="AA27" s="52"/>
      <c r="AB27" s="52"/>
      <c r="AC27" s="52"/>
      <c r="AE27" s="52"/>
      <c r="AF27" s="52"/>
    </row>
    <row r="28" spans="2:32" ht="38.450000000000003" customHeight="1">
      <c r="B28" s="275"/>
      <c r="C28" s="72" t="s">
        <v>57</v>
      </c>
      <c r="D28" s="206"/>
      <c r="E28" s="221"/>
      <c r="F28" s="221"/>
      <c r="G28" s="279"/>
      <c r="H28" s="93"/>
      <c r="I28" s="243"/>
      <c r="J28" s="91" t="str">
        <f>IFERROR(VLOOKUP(Agreements!B138,'QB Consolidated Contacts'!$A$1:$F$333,6),"-")</f>
        <v>-</v>
      </c>
      <c r="K28" s="276"/>
      <c r="L28" s="276"/>
      <c r="M28" s="276"/>
      <c r="N28" s="275"/>
      <c r="O28" s="276"/>
      <c r="P28" s="272"/>
      <c r="Q28" s="272"/>
      <c r="R28" s="273"/>
      <c r="S28" s="273"/>
      <c r="T28" s="274"/>
      <c r="U28" s="92"/>
      <c r="V28" s="93">
        <f>IFERROR(EDATE(Agreements!U138,Agreements!V138),"")</f>
        <v>0</v>
      </c>
      <c r="W28" s="92">
        <f ca="1">IFERROR(Agreements!W138-TODAY(),"")</f>
        <v>-46093</v>
      </c>
      <c r="X28" s="92" t="str">
        <f ca="1">IF(SOWS[[#This Row],[Days to Contract End]]&lt;=90,"R",IF(AND(SOWS[[#This Row],[Days to Contract End]]&lt;180),"A","G"))</f>
        <v>R</v>
      </c>
      <c r="Y28" s="235"/>
      <c r="Z28" s="51"/>
      <c r="AA28" s="52"/>
      <c r="AB28" s="52"/>
      <c r="AC28" s="52"/>
      <c r="AE28" s="52"/>
      <c r="AF28" s="52"/>
    </row>
    <row r="29" spans="2:32" ht="38.450000000000003" customHeight="1">
      <c r="B29" s="275"/>
      <c r="C29" s="72" t="s">
        <v>57</v>
      </c>
      <c r="D29" s="206"/>
      <c r="E29" s="221"/>
      <c r="F29" s="221"/>
      <c r="G29" s="279"/>
      <c r="H29" s="93"/>
      <c r="I29" s="243"/>
      <c r="J29" s="91" t="str">
        <f>IFERROR(VLOOKUP(Agreements!B138,'QB Consolidated Contacts'!$A$1:$F$333,6),"-")</f>
        <v>-</v>
      </c>
      <c r="K29" s="276"/>
      <c r="L29" s="276"/>
      <c r="M29" s="276"/>
      <c r="N29" s="275"/>
      <c r="O29" s="276"/>
      <c r="P29" s="272"/>
      <c r="Q29" s="272"/>
      <c r="R29" s="273"/>
      <c r="S29" s="273"/>
      <c r="T29" s="274"/>
      <c r="U29" s="92"/>
      <c r="V29" s="93">
        <f>IFERROR(EDATE(Agreements!U138,Agreements!V138),"")</f>
        <v>0</v>
      </c>
      <c r="W29" s="92">
        <f ca="1">IFERROR(Agreements!W138-TODAY(),"")</f>
        <v>-46093</v>
      </c>
      <c r="X29" s="92" t="str">
        <f ca="1">IF(SOWS[[#This Row],[Days to Contract End]]&lt;=90,"R",IF(AND(SOWS[[#This Row],[Days to Contract End]]&lt;180),"A","G"))</f>
        <v>R</v>
      </c>
      <c r="Y29" s="235"/>
      <c r="Z29" s="51"/>
      <c r="AA29" s="52"/>
      <c r="AB29" s="52"/>
      <c r="AC29" s="52"/>
      <c r="AE29" s="52"/>
      <c r="AF29" s="52"/>
    </row>
    <row r="30" spans="2:32" ht="38.450000000000003" customHeight="1">
      <c r="B30" s="275" t="s">
        <v>42</v>
      </c>
      <c r="C30" s="72" t="s">
        <v>59</v>
      </c>
      <c r="D30" s="206" t="s">
        <v>132</v>
      </c>
      <c r="E30" s="221" t="s">
        <v>158</v>
      </c>
      <c r="F30" s="221" t="s">
        <v>288</v>
      </c>
      <c r="G30" s="279"/>
      <c r="H30" s="93">
        <v>44743</v>
      </c>
      <c r="I30" s="267" t="s">
        <v>316</v>
      </c>
      <c r="J30" s="91" t="str">
        <f>IFERROR(VLOOKUP(C30,'QB Consolidated Contacts'!$A$1:$F$333,6),"-")</f>
        <v>Roger Santone</v>
      </c>
      <c r="K30" s="276" t="s">
        <v>39</v>
      </c>
      <c r="L30" s="276"/>
      <c r="M30" s="276" t="s">
        <v>317</v>
      </c>
      <c r="N30" s="275"/>
      <c r="O30" s="276"/>
      <c r="P30" s="272" t="s">
        <v>290</v>
      </c>
      <c r="Q30" s="272"/>
      <c r="R30" s="273">
        <v>5000</v>
      </c>
      <c r="S30" s="273">
        <f>SOWS[[#This Row],[Monthly Budget]]*12</f>
        <v>60000</v>
      </c>
      <c r="T30" s="274">
        <v>30</v>
      </c>
      <c r="U30" s="92">
        <v>11</v>
      </c>
      <c r="V30" s="93">
        <f>IFERROR(EOMONTH(H30,U30),"")</f>
        <v>45107</v>
      </c>
      <c r="W30" s="92">
        <f ca="1">IFERROR(V30-TODAY(),"")</f>
        <v>-986</v>
      </c>
      <c r="X30" s="92" t="str">
        <f ca="1">IF(SOWS[[#This Row],[Days to Contract End]]&lt;=90,"R",IF(AND(SOWS[[#This Row],[Days to Contract End]]&lt;180),"A","G"))</f>
        <v>R</v>
      </c>
      <c r="Y30" s="235"/>
      <c r="Z30" s="51"/>
      <c r="AA30" s="52"/>
      <c r="AB30" s="52"/>
      <c r="AC30" s="52"/>
      <c r="AE30" s="52"/>
      <c r="AF30" s="52"/>
    </row>
    <row r="31" spans="2:32" ht="38.450000000000003" customHeight="1">
      <c r="B31" s="275" t="s">
        <v>42</v>
      </c>
      <c r="C31" s="155" t="s">
        <v>318</v>
      </c>
      <c r="D31" s="206" t="s">
        <v>174</v>
      </c>
      <c r="E31" s="221" t="s">
        <v>158</v>
      </c>
      <c r="F31" s="221" t="s">
        <v>288</v>
      </c>
      <c r="G31" s="279"/>
      <c r="H31" s="93"/>
      <c r="I31" s="243" t="s">
        <v>319</v>
      </c>
      <c r="J31" s="278" t="str">
        <f>IFERROR(VLOOKUP(Agreements!B144,'QB Consolidated Contacts'!$A$1:$F$333,6),"-")</f>
        <v>-</v>
      </c>
      <c r="K31" s="276" t="s">
        <v>39</v>
      </c>
      <c r="L31" s="276" t="s">
        <v>39</v>
      </c>
      <c r="M31" s="276"/>
      <c r="N31" s="275"/>
      <c r="O31" s="276"/>
      <c r="P31" s="272"/>
      <c r="Q31" s="272"/>
      <c r="R31" s="273"/>
      <c r="S31" s="273"/>
      <c r="T31" s="274"/>
      <c r="U31" s="92"/>
      <c r="V31" s="93">
        <f>IFERROR(EDATE(Agreements!U144,Agreements!V144),"")</f>
        <v>0</v>
      </c>
      <c r="W31" s="92">
        <f ca="1">IFERROR(Agreements!W144-TODAY(),"")</f>
        <v>-46093</v>
      </c>
      <c r="X31" s="92" t="str">
        <f ca="1">IF(SOWS[[#This Row],[Days to Contract End]]&lt;=90,"R",IF(AND(SOWS[[#This Row],[Days to Contract End]]&lt;180),"A","G"))</f>
        <v>R</v>
      </c>
      <c r="Y31" s="235"/>
      <c r="Z31" s="51"/>
      <c r="AA31" s="52"/>
      <c r="AB31" s="52"/>
      <c r="AC31" s="52"/>
      <c r="AE31" s="52"/>
      <c r="AF31" s="52"/>
    </row>
    <row r="32" spans="2:32" ht="38.450000000000003" customHeight="1">
      <c r="B32" s="275" t="s">
        <v>42</v>
      </c>
      <c r="C32" s="155" t="s">
        <v>318</v>
      </c>
      <c r="D32" s="206" t="s">
        <v>174</v>
      </c>
      <c r="E32" s="221" t="s">
        <v>320</v>
      </c>
      <c r="F32" s="221" t="s">
        <v>175</v>
      </c>
      <c r="G32" s="279"/>
      <c r="H32" s="93"/>
      <c r="I32" s="243" t="s">
        <v>321</v>
      </c>
      <c r="J32" s="278" t="str">
        <f>IFERROR(VLOOKUP(Agreements!B144,'QB Consolidated Contacts'!$A$1:$F$333,6),"-")</f>
        <v>-</v>
      </c>
      <c r="K32" s="276" t="s">
        <v>39</v>
      </c>
      <c r="L32" s="276" t="s">
        <v>39</v>
      </c>
      <c r="M32" s="276"/>
      <c r="N32" s="275"/>
      <c r="O32" s="276"/>
      <c r="P32" s="272"/>
      <c r="Q32" s="272"/>
      <c r="R32" s="273"/>
      <c r="S32" s="273"/>
      <c r="T32" s="274"/>
      <c r="U32" s="92"/>
      <c r="V32" s="93">
        <f>IFERROR(EDATE(Agreements!U144,Agreements!V144),"")</f>
        <v>0</v>
      </c>
      <c r="W32" s="92">
        <f ca="1">IFERROR(Agreements!W144-TODAY(),"")</f>
        <v>-46093</v>
      </c>
      <c r="X32" s="92" t="str">
        <f ca="1">IF(SOWS[[#This Row],[Days to Contract End]]&lt;=90,"R",IF(AND(SOWS[[#This Row],[Days to Contract End]]&lt;180),"A","G"))</f>
        <v>R</v>
      </c>
      <c r="Y32" s="235"/>
      <c r="Z32" s="51"/>
      <c r="AA32" s="52"/>
      <c r="AB32" s="52"/>
      <c r="AC32" s="52"/>
      <c r="AE32" s="52"/>
      <c r="AF32" s="52"/>
    </row>
    <row r="33" spans="2:32" ht="38.450000000000003" customHeight="1">
      <c r="B33" s="275" t="s">
        <v>42</v>
      </c>
      <c r="C33" s="155" t="s">
        <v>318</v>
      </c>
      <c r="D33" s="206" t="s">
        <v>174</v>
      </c>
      <c r="E33" s="221" t="s">
        <v>158</v>
      </c>
      <c r="F33" s="221" t="s">
        <v>288</v>
      </c>
      <c r="G33" s="279"/>
      <c r="H33" s="93"/>
      <c r="I33" s="243" t="s">
        <v>322</v>
      </c>
      <c r="J33" s="278" t="str">
        <f>IFERROR(VLOOKUP(Agreements!B144,'QB Consolidated Contacts'!$A$1:$F$333,6),"-")</f>
        <v>-</v>
      </c>
      <c r="K33" s="276" t="s">
        <v>39</v>
      </c>
      <c r="L33" s="276" t="s">
        <v>39</v>
      </c>
      <c r="M33" s="276"/>
      <c r="N33" s="275"/>
      <c r="O33" s="276"/>
      <c r="P33" s="272"/>
      <c r="Q33" s="272"/>
      <c r="R33" s="273"/>
      <c r="S33" s="273"/>
      <c r="T33" s="274"/>
      <c r="U33" s="92"/>
      <c r="V33" s="93">
        <f>IFERROR(EDATE(Agreements!U144,Agreements!V144),"")</f>
        <v>0</v>
      </c>
      <c r="W33" s="92">
        <f ca="1">IFERROR(Agreements!W144-TODAY(),"")</f>
        <v>-46093</v>
      </c>
      <c r="X33" s="92" t="str">
        <f ca="1">IF(SOWS[[#This Row],[Days to Contract End]]&lt;=90,"R",IF(AND(SOWS[[#This Row],[Days to Contract End]]&lt;180),"A","G"))</f>
        <v>R</v>
      </c>
      <c r="Y33" s="235"/>
      <c r="Z33" s="51"/>
      <c r="AA33" s="52"/>
      <c r="AB33" s="52"/>
      <c r="AC33" s="52"/>
      <c r="AE33" s="52"/>
      <c r="AF33" s="52"/>
    </row>
    <row r="34" spans="2:32" ht="38.450000000000003" customHeight="1">
      <c r="B34" s="275" t="s">
        <v>42</v>
      </c>
      <c r="C34" s="155" t="s">
        <v>318</v>
      </c>
      <c r="D34" s="206" t="s">
        <v>174</v>
      </c>
      <c r="E34" s="221" t="s">
        <v>320</v>
      </c>
      <c r="F34" s="221" t="s">
        <v>175</v>
      </c>
      <c r="G34" s="279"/>
      <c r="H34" s="93">
        <v>45636</v>
      </c>
      <c r="I34" s="243" t="s">
        <v>323</v>
      </c>
      <c r="J34" s="278" t="str">
        <f>IFERROR(VLOOKUP(Agreements!B141,'QB Consolidated Contacts'!$A$1:$F$333,6),"-")</f>
        <v>-</v>
      </c>
      <c r="K34" s="276" t="s">
        <v>39</v>
      </c>
      <c r="L34" s="276" t="s">
        <v>39</v>
      </c>
      <c r="M34" s="276" t="s">
        <v>108</v>
      </c>
      <c r="N34" s="275"/>
      <c r="O34" s="276"/>
      <c r="P34" s="272"/>
      <c r="Q34" s="272"/>
      <c r="R34" s="273"/>
      <c r="S34" s="273"/>
      <c r="T34" s="274">
        <v>80</v>
      </c>
      <c r="U34" s="92">
        <v>12</v>
      </c>
      <c r="V34" s="93">
        <f>IFERROR(EDATE(Agreements!U141,Agreements!V141),"")</f>
        <v>0</v>
      </c>
      <c r="W34" s="92">
        <f ca="1">IFERROR(Agreements!W141-TODAY(),"")</f>
        <v>-46093</v>
      </c>
      <c r="X34" s="92" t="str">
        <f ca="1">IF(SOWS[[#This Row],[Days to Contract End]]&lt;=90,"R",IF(AND(SOWS[[#This Row],[Days to Contract End]]&lt;180),"A","G"))</f>
        <v>R</v>
      </c>
      <c r="Y34" s="235"/>
      <c r="Z34" s="51"/>
      <c r="AA34" s="52"/>
      <c r="AB34" s="52"/>
      <c r="AC34" s="52"/>
      <c r="AE34" s="52"/>
      <c r="AF34" s="52"/>
    </row>
    <row r="35" spans="2:32" ht="38.450000000000003" customHeight="1">
      <c r="B35" s="275" t="s">
        <v>42</v>
      </c>
      <c r="C35" s="155" t="s">
        <v>318</v>
      </c>
      <c r="D35" s="206" t="s">
        <v>174</v>
      </c>
      <c r="E35" s="221" t="s">
        <v>320</v>
      </c>
      <c r="F35" s="221" t="s">
        <v>175</v>
      </c>
      <c r="G35" s="279"/>
      <c r="H35" s="93">
        <v>45506</v>
      </c>
      <c r="I35" s="243" t="s">
        <v>324</v>
      </c>
      <c r="J35" s="278" t="str">
        <f>IFERROR(VLOOKUP(Agreements!B141,'QB Consolidated Contacts'!$A$1:$F$333,6),"-")</f>
        <v>-</v>
      </c>
      <c r="K35" s="276"/>
      <c r="L35" s="276"/>
      <c r="M35" s="276" t="s">
        <v>108</v>
      </c>
      <c r="N35" s="275"/>
      <c r="O35" s="276"/>
      <c r="P35" s="272"/>
      <c r="Q35" s="272"/>
      <c r="R35" s="273"/>
      <c r="S35" s="273"/>
      <c r="T35" s="274"/>
      <c r="U35" s="92"/>
      <c r="V35" s="93">
        <f>IFERROR(EDATE(Agreements!U141,Agreements!V141),"")</f>
        <v>0</v>
      </c>
      <c r="W35" s="92">
        <f ca="1">IFERROR(Agreements!W141-TODAY(),"")</f>
        <v>-46093</v>
      </c>
      <c r="X35" s="92" t="str">
        <f ca="1">IF(SOWS[[#This Row],[Days to Contract End]]&lt;=90,"R",IF(AND(SOWS[[#This Row],[Days to Contract End]]&lt;180),"A","G"))</f>
        <v>R</v>
      </c>
      <c r="Y35" s="235"/>
      <c r="Z35" s="51"/>
      <c r="AA35" s="52"/>
      <c r="AB35" s="52"/>
      <c r="AC35" s="52"/>
      <c r="AE35" s="52"/>
      <c r="AF35" s="52"/>
    </row>
    <row r="36" spans="2:32" ht="38.450000000000003" customHeight="1">
      <c r="B36" s="275" t="s">
        <v>42</v>
      </c>
      <c r="C36" s="155" t="s">
        <v>318</v>
      </c>
      <c r="D36" s="206" t="s">
        <v>174</v>
      </c>
      <c r="E36" s="221" t="s">
        <v>158</v>
      </c>
      <c r="F36" s="221" t="s">
        <v>175</v>
      </c>
      <c r="G36" s="279"/>
      <c r="H36" s="93">
        <v>45118</v>
      </c>
      <c r="I36" s="266" t="s">
        <v>325</v>
      </c>
      <c r="J36" s="91" t="str">
        <f>IFERROR(VLOOKUP(C36,'QB Consolidated Contacts'!$A$1:$F$333,6),"-")</f>
        <v>Roger Santone</v>
      </c>
      <c r="K36" s="276" t="s">
        <v>39</v>
      </c>
      <c r="L36" s="276" t="s">
        <v>39</v>
      </c>
      <c r="M36" s="276" t="s">
        <v>315</v>
      </c>
      <c r="N36" s="275"/>
      <c r="O36" s="276"/>
      <c r="P36" s="272"/>
      <c r="Q36" s="272"/>
      <c r="R36" s="273"/>
      <c r="S36" s="273"/>
      <c r="T36" s="274">
        <v>80</v>
      </c>
      <c r="U36" s="92" t="s">
        <v>220</v>
      </c>
      <c r="V36" s="93" t="str">
        <f>IFERROR(EDATE(H36,U36),"")</f>
        <v/>
      </c>
      <c r="W36" s="92" t="str">
        <f ca="1">IFERROR(V36-TODAY(),"")</f>
        <v/>
      </c>
      <c r="X36" s="92" t="str">
        <f ca="1">IF(SOWS[[#This Row],[Days to Contract End]]&lt;=90,"R",IF(AND(SOWS[[#This Row],[Days to Contract End]]&lt;180),"A","G"))</f>
        <v>G</v>
      </c>
      <c r="Y36" s="235"/>
      <c r="Z36" s="51"/>
      <c r="AA36" s="52"/>
      <c r="AB36" s="52"/>
      <c r="AC36" s="52"/>
      <c r="AE36" s="52"/>
      <c r="AF36" s="52"/>
    </row>
    <row r="37" spans="2:32" ht="38.450000000000003" customHeight="1">
      <c r="B37" s="275" t="s">
        <v>51</v>
      </c>
      <c r="C37" s="155" t="s">
        <v>318</v>
      </c>
      <c r="D37" s="206" t="s">
        <v>174</v>
      </c>
      <c r="E37" s="221" t="s">
        <v>158</v>
      </c>
      <c r="F37" s="221" t="s">
        <v>288</v>
      </c>
      <c r="G37" s="279">
        <v>45699</v>
      </c>
      <c r="H37" s="93"/>
      <c r="I37" s="253" t="s">
        <v>326</v>
      </c>
      <c r="J37" s="278" t="str">
        <f>IFERROR(VLOOKUP(Agreements!B141,'QB Consolidated Contacts'!$A$1:$F$333,6),"-")</f>
        <v>-</v>
      </c>
      <c r="K37" s="276" t="s">
        <v>39</v>
      </c>
      <c r="L37" s="276" t="s">
        <v>39</v>
      </c>
      <c r="M37" s="276" t="s">
        <v>108</v>
      </c>
      <c r="N37" s="275"/>
      <c r="O37" s="276"/>
      <c r="P37" s="272"/>
      <c r="Q37" s="272"/>
      <c r="R37" s="273"/>
      <c r="S37" s="273"/>
      <c r="T37" s="274"/>
      <c r="U37" s="92">
        <v>12</v>
      </c>
      <c r="V37" s="93">
        <f>IFERROR(EDATE(Agreements!U141,Agreements!V141),"")</f>
        <v>0</v>
      </c>
      <c r="W37" s="92">
        <f ca="1">IFERROR(Agreements!W141-TODAY(),"")</f>
        <v>-46093</v>
      </c>
      <c r="X37" s="92" t="str">
        <f ca="1">IF(SOWS[[#This Row],[Days to Contract End]]&lt;=90,"R",IF(AND(SOWS[[#This Row],[Days to Contract End]]&lt;180),"A","G"))</f>
        <v>R</v>
      </c>
      <c r="Y37" s="235"/>
      <c r="Z37" s="51"/>
      <c r="AA37" s="52"/>
      <c r="AB37" s="52"/>
      <c r="AC37" s="52"/>
      <c r="AE37" s="52"/>
      <c r="AF37" s="52"/>
    </row>
    <row r="38" spans="2:32" ht="38.450000000000003" customHeight="1">
      <c r="B38" s="275" t="s">
        <v>42</v>
      </c>
      <c r="C38" s="155" t="s">
        <v>318</v>
      </c>
      <c r="D38" s="206" t="s">
        <v>174</v>
      </c>
      <c r="E38" s="221" t="s">
        <v>158</v>
      </c>
      <c r="F38" s="221" t="s">
        <v>175</v>
      </c>
      <c r="G38" s="279"/>
      <c r="H38" s="93">
        <v>45160</v>
      </c>
      <c r="I38" s="268" t="s">
        <v>327</v>
      </c>
      <c r="J38" s="91" t="str">
        <f>IFERROR(VLOOKUP(C38,'QB Consolidated Contacts'!$A$1:$F$333,6),"-")</f>
        <v>Roger Santone</v>
      </c>
      <c r="K38" s="276" t="s">
        <v>39</v>
      </c>
      <c r="L38" s="276" t="s">
        <v>39</v>
      </c>
      <c r="M38" s="276" t="s">
        <v>315</v>
      </c>
      <c r="N38" s="275"/>
      <c r="O38" s="276"/>
      <c r="P38" s="272"/>
      <c r="Q38" s="272"/>
      <c r="R38" s="273"/>
      <c r="S38" s="273"/>
      <c r="T38" s="274"/>
      <c r="U38" s="92" t="s">
        <v>220</v>
      </c>
      <c r="V38" s="93" t="str">
        <f>IFERROR(EDATE(H38,U38),"")</f>
        <v/>
      </c>
      <c r="W38" s="92" t="str">
        <f ca="1">IFERROR(V38-TODAY(),"")</f>
        <v/>
      </c>
      <c r="X38" s="92" t="str">
        <f ca="1">IF(SOWS[[#This Row],[Days to Contract End]]&lt;=90,"R",IF(AND(SOWS[[#This Row],[Days to Contract End]]&lt;180),"A","G"))</f>
        <v>G</v>
      </c>
      <c r="Y38" s="235"/>
      <c r="Z38" s="51"/>
      <c r="AA38" s="52"/>
      <c r="AB38" s="52"/>
      <c r="AC38" s="52"/>
      <c r="AE38" s="52"/>
      <c r="AF38" s="52"/>
    </row>
    <row r="39" spans="2:32" ht="38.450000000000003" customHeight="1">
      <c r="B39" s="275" t="s">
        <v>51</v>
      </c>
      <c r="C39" s="155" t="s">
        <v>318</v>
      </c>
      <c r="D39" s="206" t="s">
        <v>174</v>
      </c>
      <c r="E39" s="221" t="s">
        <v>158</v>
      </c>
      <c r="F39" s="221" t="s">
        <v>175</v>
      </c>
      <c r="G39" s="279"/>
      <c r="H39" s="93" t="s">
        <v>328</v>
      </c>
      <c r="I39" s="253" t="s">
        <v>329</v>
      </c>
      <c r="J39" s="278" t="str">
        <f>IFERROR(VLOOKUP(Agreements!B141,'QB Consolidated Contacts'!$A$1:$F$333,6),"-")</f>
        <v>-</v>
      </c>
      <c r="K39" s="276" t="s">
        <v>39</v>
      </c>
      <c r="L39" s="276" t="s">
        <v>39</v>
      </c>
      <c r="M39" s="276" t="s">
        <v>108</v>
      </c>
      <c r="N39" s="275"/>
      <c r="O39" s="276"/>
      <c r="P39" s="272"/>
      <c r="Q39" s="272"/>
      <c r="R39" s="273"/>
      <c r="S39" s="273"/>
      <c r="T39" s="274"/>
      <c r="U39" s="92">
        <v>36</v>
      </c>
      <c r="V39" s="93">
        <f>IFERROR(EDATE(Agreements!U141,Agreements!V141),"")</f>
        <v>0</v>
      </c>
      <c r="W39" s="92">
        <f ca="1">IFERROR(Agreements!W141-TODAY(),"")</f>
        <v>-46093</v>
      </c>
      <c r="X39" s="92" t="str">
        <f ca="1">IF(SOWS[[#This Row],[Days to Contract End]]&lt;=90,"R",IF(AND(SOWS[[#This Row],[Days to Contract End]]&lt;180),"A","G"))</f>
        <v>R</v>
      </c>
      <c r="Y39" s="235"/>
      <c r="Z39" s="51"/>
      <c r="AA39" s="52"/>
      <c r="AB39" s="52"/>
      <c r="AC39" s="52"/>
      <c r="AE39" s="52"/>
      <c r="AF39" s="52"/>
    </row>
    <row r="40" spans="2:32" ht="38.450000000000003" customHeight="1">
      <c r="B40" s="275" t="s">
        <v>42</v>
      </c>
      <c r="C40" s="155" t="s">
        <v>318</v>
      </c>
      <c r="D40" s="206" t="s">
        <v>174</v>
      </c>
      <c r="E40" s="221" t="s">
        <v>320</v>
      </c>
      <c r="F40" s="221" t="s">
        <v>175</v>
      </c>
      <c r="G40" s="279"/>
      <c r="H40" s="93">
        <v>45523</v>
      </c>
      <c r="I40" s="243" t="s">
        <v>330</v>
      </c>
      <c r="J40" s="278" t="str">
        <f>IFERROR(VLOOKUP(C40,'QB Consolidated Contacts'!$A$1:$F$333,6),"-")</f>
        <v>Roger Santone</v>
      </c>
      <c r="K40" s="276" t="s">
        <v>39</v>
      </c>
      <c r="L40" s="276" t="s">
        <v>39</v>
      </c>
      <c r="M40" s="276" t="s">
        <v>315</v>
      </c>
      <c r="N40" s="275"/>
      <c r="O40" s="276"/>
      <c r="P40" s="272" t="s">
        <v>282</v>
      </c>
      <c r="Q40" s="272"/>
      <c r="R40" s="273"/>
      <c r="S40" s="273">
        <v>21000</v>
      </c>
      <c r="T40" s="274">
        <v>120</v>
      </c>
      <c r="U40" s="92" t="s">
        <v>220</v>
      </c>
      <c r="V40" s="93" t="str">
        <f>IFERROR(EDATE(H40,U40),"")</f>
        <v/>
      </c>
      <c r="W40" s="92" t="str">
        <f t="shared" ref="W40:W69" ca="1" si="2">IFERROR(V40-TODAY(),"")</f>
        <v/>
      </c>
      <c r="X40" s="92" t="str">
        <f ca="1">IF(SOWS[[#This Row],[Days to Contract End]]&lt;=90,"R",IF(AND(SOWS[[#This Row],[Days to Contract End]]&lt;180),"A","G"))</f>
        <v>G</v>
      </c>
      <c r="Y40" s="235"/>
      <c r="Z40" s="51"/>
      <c r="AA40" s="52"/>
      <c r="AB40" s="52"/>
      <c r="AC40" s="52"/>
      <c r="AE40" s="52"/>
      <c r="AF40" s="52"/>
    </row>
    <row r="41" spans="2:32" ht="38.450000000000003" customHeight="1">
      <c r="B41" s="275" t="s">
        <v>42</v>
      </c>
      <c r="C41" s="155" t="s">
        <v>318</v>
      </c>
      <c r="D41" s="206" t="s">
        <v>174</v>
      </c>
      <c r="E41" s="221" t="s">
        <v>158</v>
      </c>
      <c r="F41" s="221" t="s">
        <v>175</v>
      </c>
      <c r="G41" s="279"/>
      <c r="H41" s="93">
        <v>45536</v>
      </c>
      <c r="I41" s="243" t="s">
        <v>331</v>
      </c>
      <c r="J41" s="278" t="str">
        <f>IFERROR(VLOOKUP(C41,'QB Consolidated Contacts'!$A$1:$F$333,6),"-")</f>
        <v>Roger Santone</v>
      </c>
      <c r="K41" s="276" t="s">
        <v>39</v>
      </c>
      <c r="L41" s="276" t="s">
        <v>39</v>
      </c>
      <c r="M41" s="276" t="s">
        <v>315</v>
      </c>
      <c r="N41" s="275" t="s">
        <v>39</v>
      </c>
      <c r="O41" s="276"/>
      <c r="P41" s="272" t="s">
        <v>290</v>
      </c>
      <c r="Q41" s="272"/>
      <c r="R41" s="273"/>
      <c r="S41" s="273"/>
      <c r="T41" s="274"/>
      <c r="U41" s="92">
        <v>36</v>
      </c>
      <c r="V41" s="93">
        <f>IFERROR(EDATE(H41,U41),"")</f>
        <v>46631</v>
      </c>
      <c r="W41" s="92">
        <f t="shared" ca="1" si="2"/>
        <v>538</v>
      </c>
      <c r="X41" s="92" t="str">
        <f ca="1">IF(SOWS[[#This Row],[Days to Contract End]]&lt;=90,"R",IF(AND(SOWS[[#This Row],[Days to Contract End]]&lt;180),"A","G"))</f>
        <v>G</v>
      </c>
      <c r="Y41" s="235"/>
      <c r="Z41" s="51"/>
      <c r="AA41" s="52"/>
      <c r="AB41" s="52"/>
      <c r="AC41" s="52"/>
      <c r="AE41" s="52"/>
      <c r="AF41" s="52"/>
    </row>
    <row r="42" spans="2:32" ht="38.450000000000003" customHeight="1">
      <c r="B42" s="275" t="s">
        <v>42</v>
      </c>
      <c r="C42" s="155" t="s">
        <v>318</v>
      </c>
      <c r="D42" s="206" t="s">
        <v>174</v>
      </c>
      <c r="E42" s="221" t="s">
        <v>158</v>
      </c>
      <c r="F42" s="221" t="s">
        <v>175</v>
      </c>
      <c r="G42" s="279"/>
      <c r="H42" s="93" t="s">
        <v>332</v>
      </c>
      <c r="I42" s="253" t="s">
        <v>333</v>
      </c>
      <c r="J42" s="278" t="str">
        <f>IFERROR(VLOOKUP(C42,'QB Consolidated Contacts'!$A$1:$F$333,6),"-")</f>
        <v>Roger Santone</v>
      </c>
      <c r="K42" s="276" t="s">
        <v>39</v>
      </c>
      <c r="L42" s="276" t="s">
        <v>39</v>
      </c>
      <c r="M42" s="276" t="s">
        <v>315</v>
      </c>
      <c r="N42" s="275"/>
      <c r="O42" s="276"/>
      <c r="P42" s="272"/>
      <c r="Q42" s="272"/>
      <c r="R42" s="273"/>
      <c r="S42" s="273"/>
      <c r="T42" s="274"/>
      <c r="U42" s="92"/>
      <c r="V42" s="93" t="str">
        <f>IFERROR(EDATE(H42,U42),"")</f>
        <v/>
      </c>
      <c r="W42" s="92" t="str">
        <f t="shared" ca="1" si="2"/>
        <v/>
      </c>
      <c r="X42" s="92" t="str">
        <f ca="1">IF(SOWS[[#This Row],[Days to Contract End]]&lt;=90,"R",IF(AND(SOWS[[#This Row],[Days to Contract End]]&lt;180),"A","G"))</f>
        <v>G</v>
      </c>
      <c r="Y42" s="235"/>
      <c r="Z42" s="51"/>
      <c r="AA42" s="52"/>
      <c r="AB42" s="52"/>
      <c r="AC42" s="52"/>
      <c r="AE42" s="52"/>
      <c r="AF42" s="52"/>
    </row>
    <row r="43" spans="2:32" ht="38.450000000000003" customHeight="1">
      <c r="B43" s="275" t="s">
        <v>42</v>
      </c>
      <c r="C43" s="155" t="s">
        <v>318</v>
      </c>
      <c r="D43" s="206" t="s">
        <v>174</v>
      </c>
      <c r="E43" s="221" t="s">
        <v>158</v>
      </c>
      <c r="F43" s="221" t="s">
        <v>175</v>
      </c>
      <c r="G43" s="279"/>
      <c r="H43" s="279">
        <v>45033</v>
      </c>
      <c r="I43" s="266" t="s">
        <v>334</v>
      </c>
      <c r="J43" s="91" t="str">
        <f>IFERROR(VLOOKUP(C43,'QB Consolidated Contacts'!$A$1:$F$333,6),"-")</f>
        <v>Roger Santone</v>
      </c>
      <c r="K43" s="276" t="s">
        <v>39</v>
      </c>
      <c r="L43" s="276" t="s">
        <v>39</v>
      </c>
      <c r="M43" s="276" t="s">
        <v>315</v>
      </c>
      <c r="N43" s="275"/>
      <c r="O43" s="276"/>
      <c r="P43" s="272" t="s">
        <v>290</v>
      </c>
      <c r="Q43" s="272" t="s">
        <v>48</v>
      </c>
      <c r="R43" s="273">
        <v>12250</v>
      </c>
      <c r="S43" s="273">
        <f>SOWS[[#This Row],[Monthly Budget]]*12</f>
        <v>147000</v>
      </c>
      <c r="T43" s="274">
        <f>16*12</f>
        <v>192</v>
      </c>
      <c r="U43" s="92">
        <v>12</v>
      </c>
      <c r="V43" s="93">
        <f>IFERROR(EDATE(H43,U43),"")</f>
        <v>45399</v>
      </c>
      <c r="W43" s="92">
        <f t="shared" ca="1" si="2"/>
        <v>-694</v>
      </c>
      <c r="X43" s="92" t="str">
        <f ca="1">IF(SOWS[[#This Row],[Days to Contract End]]&lt;=90,"R",IF(AND(SOWS[[#This Row],[Days to Contract End]]&lt;180),"A","G"))</f>
        <v>R</v>
      </c>
      <c r="Y43" s="235"/>
      <c r="Z43" s="51"/>
      <c r="AA43" s="52"/>
      <c r="AB43" s="52"/>
      <c r="AC43" s="52"/>
      <c r="AE43" s="52"/>
      <c r="AF43" s="52"/>
    </row>
    <row r="44" spans="2:32" ht="38.450000000000003" customHeight="1">
      <c r="B44" s="275" t="s">
        <v>42</v>
      </c>
      <c r="C44" s="155" t="s">
        <v>318</v>
      </c>
      <c r="D44" s="206" t="s">
        <v>174</v>
      </c>
      <c r="E44" s="221" t="s">
        <v>158</v>
      </c>
      <c r="F44" s="221" t="s">
        <v>175</v>
      </c>
      <c r="G44" s="279"/>
      <c r="H44" s="93">
        <v>45152</v>
      </c>
      <c r="I44" s="268" t="s">
        <v>335</v>
      </c>
      <c r="J44" s="91" t="str">
        <f>IFERROR(VLOOKUP(C44,'QB Consolidated Contacts'!$A$1:$F$333,6),"-")</f>
        <v>Roger Santone</v>
      </c>
      <c r="K44" s="276" t="s">
        <v>39</v>
      </c>
      <c r="L44" s="276" t="s">
        <v>39</v>
      </c>
      <c r="M44" s="276" t="s">
        <v>315</v>
      </c>
      <c r="N44" s="275" t="s">
        <v>39</v>
      </c>
      <c r="O44" s="276"/>
      <c r="P44" s="272"/>
      <c r="Q44" s="272"/>
      <c r="R44" s="273"/>
      <c r="S44" s="273"/>
      <c r="T44" s="274"/>
      <c r="U44" s="92" t="s">
        <v>220</v>
      </c>
      <c r="V44" s="93">
        <v>45535</v>
      </c>
      <c r="W44" s="92">
        <f t="shared" ca="1" si="2"/>
        <v>-558</v>
      </c>
      <c r="X44" s="92" t="str">
        <f ca="1">IF(SOWS[[#This Row],[Days to Contract End]]&lt;=90,"R",IF(AND(SOWS[[#This Row],[Days to Contract End]]&lt;180),"A","G"))</f>
        <v>R</v>
      </c>
      <c r="Y44" s="235"/>
      <c r="Z44" s="51"/>
      <c r="AA44" s="52"/>
      <c r="AB44" s="52"/>
      <c r="AC44" s="52"/>
      <c r="AE44" s="52"/>
      <c r="AF44" s="52"/>
    </row>
    <row r="45" spans="2:32" ht="38.450000000000003" customHeight="1">
      <c r="B45" s="275" t="s">
        <v>42</v>
      </c>
      <c r="C45" s="155" t="s">
        <v>318</v>
      </c>
      <c r="D45" s="206" t="s">
        <v>174</v>
      </c>
      <c r="E45" s="221" t="s">
        <v>158</v>
      </c>
      <c r="F45" s="221" t="s">
        <v>175</v>
      </c>
      <c r="G45" s="279"/>
      <c r="H45" s="93">
        <v>45152</v>
      </c>
      <c r="I45" s="266" t="s">
        <v>336</v>
      </c>
      <c r="J45" s="91" t="str">
        <f>IFERROR(VLOOKUP(C45,'QB Consolidated Contacts'!$A$1:$F$333,6),"-")</f>
        <v>Roger Santone</v>
      </c>
      <c r="K45" s="276" t="s">
        <v>39</v>
      </c>
      <c r="L45" s="276" t="s">
        <v>39</v>
      </c>
      <c r="M45" s="276" t="s">
        <v>315</v>
      </c>
      <c r="N45" s="275"/>
      <c r="O45" s="276"/>
      <c r="P45" s="272"/>
      <c r="Q45" s="272"/>
      <c r="R45" s="273"/>
      <c r="S45" s="273"/>
      <c r="T45" s="274"/>
      <c r="U45" s="92" t="s">
        <v>220</v>
      </c>
      <c r="V45" s="93">
        <v>45657</v>
      </c>
      <c r="W45" s="92">
        <f t="shared" ca="1" si="2"/>
        <v>-436</v>
      </c>
      <c r="X45" s="92" t="str">
        <f ca="1">IF(SOWS[[#This Row],[Days to Contract End]]&lt;=90,"R",IF(AND(SOWS[[#This Row],[Days to Contract End]]&lt;180),"A","G"))</f>
        <v>R</v>
      </c>
      <c r="Y45" s="235"/>
      <c r="Z45" s="51"/>
      <c r="AA45" s="52"/>
      <c r="AB45" s="52"/>
      <c r="AC45" s="52"/>
      <c r="AE45" s="52"/>
      <c r="AF45" s="52"/>
    </row>
    <row r="46" spans="2:32" ht="38.450000000000003" customHeight="1">
      <c r="B46" s="275" t="s">
        <v>42</v>
      </c>
      <c r="C46" s="155" t="s">
        <v>318</v>
      </c>
      <c r="D46" s="206" t="s">
        <v>174</v>
      </c>
      <c r="E46" s="221" t="s">
        <v>158</v>
      </c>
      <c r="F46" s="221" t="s">
        <v>175</v>
      </c>
      <c r="G46" s="279"/>
      <c r="H46" s="93">
        <v>45511</v>
      </c>
      <c r="I46" s="266" t="s">
        <v>337</v>
      </c>
      <c r="J46" s="91" t="str">
        <f>IFERROR(VLOOKUP(C46,'QB Consolidated Contacts'!$A$1:$F$333,6),"-")</f>
        <v>Roger Santone</v>
      </c>
      <c r="K46" s="276" t="s">
        <v>39</v>
      </c>
      <c r="L46" s="276" t="s">
        <v>39</v>
      </c>
      <c r="M46" s="276" t="s">
        <v>315</v>
      </c>
      <c r="N46" s="275"/>
      <c r="O46" s="276"/>
      <c r="P46" s="272"/>
      <c r="Q46" s="272"/>
      <c r="R46" s="273"/>
      <c r="S46" s="273"/>
      <c r="T46" s="274"/>
      <c r="U46" s="92" t="s">
        <v>220</v>
      </c>
      <c r="V46" s="93">
        <v>45657</v>
      </c>
      <c r="W46" s="92">
        <f t="shared" ca="1" si="2"/>
        <v>-436</v>
      </c>
      <c r="X46" s="92" t="str">
        <f ca="1">IF(SOWS[[#This Row],[Days to Contract End]]&lt;=90,"R",IF(AND(SOWS[[#This Row],[Days to Contract End]]&lt;180),"A","G"))</f>
        <v>R</v>
      </c>
      <c r="Y46" s="235"/>
      <c r="Z46" s="51"/>
      <c r="AA46" s="52"/>
      <c r="AB46" s="52"/>
      <c r="AC46" s="52"/>
      <c r="AE46" s="52"/>
      <c r="AF46" s="52"/>
    </row>
    <row r="47" spans="2:32" ht="38.450000000000003" customHeight="1">
      <c r="B47" s="275" t="s">
        <v>42</v>
      </c>
      <c r="C47" s="155" t="s">
        <v>318</v>
      </c>
      <c r="D47" s="206" t="s">
        <v>174</v>
      </c>
      <c r="E47" s="221" t="s">
        <v>158</v>
      </c>
      <c r="F47" s="221" t="s">
        <v>288</v>
      </c>
      <c r="G47" s="279"/>
      <c r="H47" s="93">
        <v>45399</v>
      </c>
      <c r="I47" s="243" t="s">
        <v>338</v>
      </c>
      <c r="J47" s="278" t="s">
        <v>339</v>
      </c>
      <c r="K47" s="276" t="s">
        <v>39</v>
      </c>
      <c r="L47" s="276" t="s">
        <v>39</v>
      </c>
      <c r="M47" s="276" t="s">
        <v>315</v>
      </c>
      <c r="N47" s="275"/>
      <c r="O47" s="276"/>
      <c r="P47" s="272"/>
      <c r="Q47" s="272"/>
      <c r="R47" s="273"/>
      <c r="S47" s="273"/>
      <c r="T47" s="274"/>
      <c r="U47" s="92">
        <v>12</v>
      </c>
      <c r="V47" s="93">
        <f>IFERROR(EDATE(H47,U47),"")+13</f>
        <v>45777</v>
      </c>
      <c r="W47" s="92">
        <f t="shared" ca="1" si="2"/>
        <v>-316</v>
      </c>
      <c r="X47" s="92" t="str">
        <f ca="1">IF(SOWS[[#This Row],[Days to Contract End]]&lt;=90,"R",IF(AND(SOWS[[#This Row],[Days to Contract End]]&lt;180),"A","G"))</f>
        <v>R</v>
      </c>
      <c r="Y47" s="235"/>
      <c r="Z47" s="51"/>
      <c r="AA47" s="52"/>
      <c r="AB47" s="52"/>
      <c r="AC47" s="52"/>
      <c r="AE47" s="52"/>
      <c r="AF47" s="52"/>
    </row>
    <row r="48" spans="2:32" ht="38.450000000000003" customHeight="1">
      <c r="B48" s="275"/>
      <c r="C48" s="155" t="s">
        <v>318</v>
      </c>
      <c r="D48" s="206"/>
      <c r="E48" s="221" t="s">
        <v>158</v>
      </c>
      <c r="F48" s="221" t="s">
        <v>175</v>
      </c>
      <c r="G48" s="279"/>
      <c r="H48" s="93">
        <v>45160</v>
      </c>
      <c r="I48" s="268" t="s">
        <v>340</v>
      </c>
      <c r="J48" s="91" t="str">
        <f>IFERROR(VLOOKUP(C48,'QB Consolidated Contacts'!$A$1:$F$333,6),"-")</f>
        <v>Roger Santone</v>
      </c>
      <c r="K48" s="276" t="s">
        <v>39</v>
      </c>
      <c r="L48" s="276" t="s">
        <v>39</v>
      </c>
      <c r="M48" s="276" t="s">
        <v>315</v>
      </c>
      <c r="N48" s="275"/>
      <c r="O48" s="276"/>
      <c r="P48" s="272"/>
      <c r="Q48" s="272"/>
      <c r="R48" s="273"/>
      <c r="S48" s="273"/>
      <c r="T48" s="274"/>
      <c r="U48" s="92"/>
      <c r="V48" s="93">
        <f>IFERROR(EDATE(H48,U48),"")</f>
        <v>45160</v>
      </c>
      <c r="W48" s="92">
        <f t="shared" ca="1" si="2"/>
        <v>-933</v>
      </c>
      <c r="X48" s="92" t="str">
        <f ca="1">IF(SOWS[[#This Row],[Days to Contract End]]&lt;=90,"R",IF(AND(SOWS[[#This Row],[Days to Contract End]]&lt;180),"A","G"))</f>
        <v>R</v>
      </c>
      <c r="Y48" s="235"/>
      <c r="Z48" s="51"/>
      <c r="AA48" s="52"/>
      <c r="AB48" s="52"/>
      <c r="AC48" s="52"/>
      <c r="AE48" s="52"/>
      <c r="AF48" s="52"/>
    </row>
    <row r="49" spans="2:32" ht="38.450000000000003" customHeight="1">
      <c r="B49" s="275" t="s">
        <v>51</v>
      </c>
      <c r="C49" s="155" t="s">
        <v>318</v>
      </c>
      <c r="D49" s="206" t="s">
        <v>132</v>
      </c>
      <c r="E49" s="221" t="s">
        <v>158</v>
      </c>
      <c r="F49" s="221" t="s">
        <v>288</v>
      </c>
      <c r="G49" s="279">
        <v>45802</v>
      </c>
      <c r="H49" s="93">
        <v>45778</v>
      </c>
      <c r="I49" s="293" t="s">
        <v>341</v>
      </c>
      <c r="J49" s="91" t="str">
        <f>IFERROR(VLOOKUP(Agreements!B190,'QB Consolidated Contacts'!$A$1:$F$333,6),"-")</f>
        <v>-</v>
      </c>
      <c r="K49" s="276" t="s">
        <v>39</v>
      </c>
      <c r="L49" s="276" t="s">
        <v>39</v>
      </c>
      <c r="M49" s="276"/>
      <c r="N49" s="275"/>
      <c r="O49" s="277"/>
      <c r="P49" s="272"/>
      <c r="Q49" s="272"/>
      <c r="R49" s="273"/>
      <c r="S49" s="273"/>
      <c r="T49" s="274"/>
      <c r="U49" s="92"/>
      <c r="V49" s="93">
        <f>IFERROR(EDATE(H49,U49),"")</f>
        <v>45778</v>
      </c>
      <c r="W49" s="92">
        <f t="shared" ca="1" si="2"/>
        <v>-315</v>
      </c>
      <c r="X49" s="92" t="str">
        <f ca="1">IF(SOWS[[#This Row],[Days to Contract End]]&lt;=90,"R",IF(AND(SOWS[[#This Row],[Days to Contract End]]&lt;180),"A","G"))</f>
        <v>R</v>
      </c>
      <c r="Y49" s="235"/>
      <c r="Z49" s="51"/>
      <c r="AA49" s="52"/>
      <c r="AB49" s="52"/>
      <c r="AC49" s="52"/>
      <c r="AE49" s="52"/>
      <c r="AF49" s="52"/>
    </row>
    <row r="50" spans="2:32" ht="38.450000000000003" customHeight="1">
      <c r="B50" s="275" t="s">
        <v>51</v>
      </c>
      <c r="C50" s="155" t="s">
        <v>318</v>
      </c>
      <c r="D50" s="206" t="s">
        <v>342</v>
      </c>
      <c r="E50" s="221" t="s">
        <v>158</v>
      </c>
      <c r="F50" s="221" t="s">
        <v>175</v>
      </c>
      <c r="G50" s="279"/>
      <c r="H50" s="93">
        <v>45634</v>
      </c>
      <c r="I50" s="266" t="s">
        <v>343</v>
      </c>
      <c r="J50" s="91" t="str">
        <f>IFERROR(VLOOKUP(C50,'QB Consolidated Contacts'!$A$1:$F$333,6),"-")</f>
        <v>Roger Santone</v>
      </c>
      <c r="K50" s="276" t="s">
        <v>39</v>
      </c>
      <c r="L50" s="276" t="s">
        <v>39</v>
      </c>
      <c r="M50" s="276" t="s">
        <v>315</v>
      </c>
      <c r="N50" s="275"/>
      <c r="O50" s="276"/>
      <c r="P50" s="272"/>
      <c r="Q50" s="272"/>
      <c r="R50" s="273"/>
      <c r="S50" s="273"/>
      <c r="T50" s="274"/>
      <c r="U50" s="92" t="s">
        <v>220</v>
      </c>
      <c r="V50" s="93">
        <v>45382</v>
      </c>
      <c r="W50" s="92">
        <f t="shared" ca="1" si="2"/>
        <v>-711</v>
      </c>
      <c r="X50" s="92" t="str">
        <f ca="1">IF(SOWS[[#This Row],[Days to Contract End]]&lt;=90,"R",IF(AND(SOWS[[#This Row],[Days to Contract End]]&lt;180),"A","G"))</f>
        <v>R</v>
      </c>
      <c r="Y50" s="235"/>
      <c r="Z50" s="51"/>
      <c r="AA50" s="52"/>
      <c r="AB50" s="52"/>
      <c r="AC50" s="52"/>
      <c r="AE50" s="52"/>
      <c r="AF50" s="52"/>
    </row>
    <row r="51" spans="2:32" ht="38.450000000000003" customHeight="1">
      <c r="B51" s="275" t="s">
        <v>42</v>
      </c>
      <c r="C51" s="287" t="s">
        <v>68</v>
      </c>
      <c r="D51" s="206" t="s">
        <v>132</v>
      </c>
      <c r="E51" s="57" t="s">
        <v>158</v>
      </c>
      <c r="F51" s="279" t="s">
        <v>175</v>
      </c>
      <c r="G51" s="279">
        <v>45660</v>
      </c>
      <c r="H51" s="279">
        <v>45658</v>
      </c>
      <c r="I51" s="281" t="s">
        <v>344</v>
      </c>
      <c r="J51" s="278">
        <f>IFERROR(VLOOKUP(Agreements!B112,'QB Consolidated Contacts'!$A$1:$F$333,6),"-")</f>
        <v>0</v>
      </c>
      <c r="K51" s="276" t="s">
        <v>39</v>
      </c>
      <c r="L51" s="276" t="s">
        <v>39</v>
      </c>
      <c r="M51" s="276"/>
      <c r="N51" s="275"/>
      <c r="O51" s="276"/>
      <c r="P51" s="272"/>
      <c r="Q51" s="272"/>
      <c r="R51" s="273"/>
      <c r="S51" s="273"/>
      <c r="T51" s="274"/>
      <c r="U51" s="57">
        <v>3</v>
      </c>
      <c r="V51" s="93">
        <f>IFERROR(EDATE(H51,U51),"")</f>
        <v>45748</v>
      </c>
      <c r="W51" s="92">
        <f t="shared" ca="1" si="2"/>
        <v>-345</v>
      </c>
      <c r="X51" s="57" t="str">
        <f ca="1">IF(SOWS[[#This Row],[Days to Contract End]]&lt;=90,"R",IF(AND(SOWS[[#This Row],[Days to Contract End]]&lt;180),"A","G"))</f>
        <v>R</v>
      </c>
      <c r="Y51" s="297"/>
      <c r="Z51" s="51"/>
      <c r="AA51" s="52"/>
      <c r="AB51" s="52"/>
      <c r="AC51" s="52"/>
      <c r="AE51" s="52"/>
      <c r="AF51" s="52"/>
    </row>
    <row r="52" spans="2:32" ht="38.450000000000003" customHeight="1">
      <c r="B52" s="275" t="s">
        <v>42</v>
      </c>
      <c r="C52" s="155" t="s">
        <v>345</v>
      </c>
      <c r="D52" s="206" t="s">
        <v>132</v>
      </c>
      <c r="E52" s="221" t="s">
        <v>158</v>
      </c>
      <c r="F52" s="221" t="s">
        <v>175</v>
      </c>
      <c r="G52" s="279"/>
      <c r="H52" s="93">
        <v>45036</v>
      </c>
      <c r="I52" s="266" t="s">
        <v>346</v>
      </c>
      <c r="J52" s="91">
        <f>IFERROR(VLOOKUP(C52,'QB Consolidated Contacts'!$A$1:$F$333,6),"-")</f>
        <v>0</v>
      </c>
      <c r="K52" s="276" t="s">
        <v>40</v>
      </c>
      <c r="L52" s="276"/>
      <c r="M52" s="276" t="s">
        <v>347</v>
      </c>
      <c r="N52" s="275"/>
      <c r="O52" s="276"/>
      <c r="P52" s="272"/>
      <c r="Q52" s="272"/>
      <c r="R52" s="273"/>
      <c r="S52" s="273"/>
      <c r="T52" s="274"/>
      <c r="U52" s="92"/>
      <c r="V52" s="93">
        <f>IFERROR(EDATE(H52,U52),"")</f>
        <v>45036</v>
      </c>
      <c r="W52" s="92">
        <f t="shared" ca="1" si="2"/>
        <v>-1057</v>
      </c>
      <c r="X52" s="92" t="str">
        <f ca="1">IF(SOWS[[#This Row],[Days to Contract End]]&lt;=90,"R",IF(AND(SOWS[[#This Row],[Days to Contract End]]&lt;180),"A","G"))</f>
        <v>R</v>
      </c>
      <c r="Y52" s="235"/>
      <c r="Z52" s="51"/>
      <c r="AA52" s="52"/>
      <c r="AB52" s="52"/>
      <c r="AC52" s="52"/>
      <c r="AE52" s="52"/>
      <c r="AF52" s="52"/>
    </row>
    <row r="53" spans="2:32" ht="38.450000000000003" customHeight="1">
      <c r="B53" s="275" t="s">
        <v>42</v>
      </c>
      <c r="C53" s="155" t="s">
        <v>348</v>
      </c>
      <c r="D53" s="206" t="s">
        <v>174</v>
      </c>
      <c r="E53" s="221" t="s">
        <v>158</v>
      </c>
      <c r="F53" s="221" t="s">
        <v>175</v>
      </c>
      <c r="G53" s="279"/>
      <c r="H53" s="93">
        <v>45012</v>
      </c>
      <c r="I53" s="266" t="s">
        <v>349</v>
      </c>
      <c r="J53" s="91">
        <f>IFERROR(VLOOKUP(C53,'QB Consolidated Contacts'!$A$1:$F$333,6),"-")</f>
        <v>0</v>
      </c>
      <c r="K53" s="276" t="s">
        <v>39</v>
      </c>
      <c r="L53" s="276"/>
      <c r="M53" s="276" t="s">
        <v>317</v>
      </c>
      <c r="N53" s="275"/>
      <c r="O53" s="276"/>
      <c r="P53" s="272"/>
      <c r="Q53" s="272"/>
      <c r="R53" s="273"/>
      <c r="S53" s="273"/>
      <c r="T53" s="274"/>
      <c r="U53" s="92">
        <v>2</v>
      </c>
      <c r="V53" s="93">
        <f>IFERROR(EDATE(H53,U53),"")</f>
        <v>45073</v>
      </c>
      <c r="W53" s="92">
        <f t="shared" ca="1" si="2"/>
        <v>-1020</v>
      </c>
      <c r="X53" s="92" t="str">
        <f ca="1">IF(SOWS[[#This Row],[Days to Contract End]]&lt;=90,"R",IF(AND(SOWS[[#This Row],[Days to Contract End]]&lt;180),"A","G"))</f>
        <v>R</v>
      </c>
      <c r="Y53" s="235"/>
      <c r="Z53" s="51"/>
      <c r="AA53" s="52"/>
      <c r="AB53" s="52"/>
      <c r="AC53" s="52"/>
      <c r="AE53" s="52"/>
      <c r="AF53" s="52"/>
    </row>
    <row r="54" spans="2:32" ht="38.450000000000003" customHeight="1">
      <c r="B54" s="275"/>
      <c r="C54" s="155" t="s">
        <v>350</v>
      </c>
      <c r="D54" s="206"/>
      <c r="E54" s="221"/>
      <c r="F54" s="221"/>
      <c r="G54" s="279"/>
      <c r="H54" s="93"/>
      <c r="I54" s="268"/>
      <c r="J54" s="278" t="str">
        <f>IFERROR(VLOOKUP(Agreements!B274,'QB Consolidated Contacts'!$A$1:$F$333,6),"-")</f>
        <v>-</v>
      </c>
      <c r="K54" s="276"/>
      <c r="L54" s="276"/>
      <c r="M54" s="276"/>
      <c r="N54" s="275"/>
      <c r="O54" s="276"/>
      <c r="P54" s="272"/>
      <c r="Q54" s="272"/>
      <c r="R54" s="273"/>
      <c r="S54" s="273"/>
      <c r="T54" s="274"/>
      <c r="U54" s="92"/>
      <c r="V54" s="93">
        <f>IFERROR(EDATE(Agreements!U274,Agreements!V274),"")</f>
        <v>0</v>
      </c>
      <c r="W54" s="92">
        <f t="shared" ca="1" si="2"/>
        <v>-46093</v>
      </c>
      <c r="X54" s="92" t="str">
        <f ca="1">IF(SOWS[[#This Row],[Days to Contract End]]&lt;=90,"R",IF(AND(SOWS[[#This Row],[Days to Contract End]]&lt;180),"A","G"))</f>
        <v>R</v>
      </c>
      <c r="Y54" s="235"/>
      <c r="Z54" s="51"/>
      <c r="AA54" s="52"/>
      <c r="AB54" s="52"/>
      <c r="AC54" s="52"/>
      <c r="AE54" s="52"/>
      <c r="AF54" s="52"/>
    </row>
    <row r="55" spans="2:32" ht="38.450000000000003" customHeight="1">
      <c r="B55" s="275" t="s">
        <v>42</v>
      </c>
      <c r="C55" s="155" t="s">
        <v>75</v>
      </c>
      <c r="D55" s="206"/>
      <c r="E55" s="221" t="s">
        <v>351</v>
      </c>
      <c r="F55" s="221" t="s">
        <v>175</v>
      </c>
      <c r="G55" s="279"/>
      <c r="H55" s="93"/>
      <c r="I55" s="267" t="s">
        <v>352</v>
      </c>
      <c r="J55" s="91">
        <f>IFERROR(VLOOKUP(C55,'QB Consolidated Contacts'!$A$1:$F$333,6),"-")</f>
        <v>0</v>
      </c>
      <c r="K55" s="276" t="s">
        <v>40</v>
      </c>
      <c r="L55" s="276"/>
      <c r="M55" s="276" t="s">
        <v>309</v>
      </c>
      <c r="N55" s="275"/>
      <c r="O55" s="277" t="s">
        <v>353</v>
      </c>
      <c r="P55" s="272"/>
      <c r="Q55" s="272"/>
      <c r="R55" s="273"/>
      <c r="S55" s="273"/>
      <c r="T55" s="274"/>
      <c r="U55" s="92"/>
      <c r="V55" s="93">
        <f t="shared" ref="V55:V69" si="3">IFERROR(EDATE(H55,U55),"")</f>
        <v>0</v>
      </c>
      <c r="W55" s="92">
        <f t="shared" ca="1" si="2"/>
        <v>-46093</v>
      </c>
      <c r="X55" s="92" t="str">
        <f ca="1">IF(SOWS[[#This Row],[Days to Contract End]]&lt;=90,"R",IF(AND(SOWS[[#This Row],[Days to Contract End]]&lt;180),"A","G"))</f>
        <v>R</v>
      </c>
      <c r="Y55" s="235"/>
      <c r="Z55" s="51"/>
      <c r="AA55" s="52"/>
      <c r="AB55" s="52"/>
      <c r="AC55" s="52"/>
      <c r="AE55" s="52"/>
      <c r="AF55" s="52"/>
    </row>
    <row r="56" spans="2:32" ht="38.450000000000003" customHeight="1">
      <c r="B56" s="275" t="s">
        <v>42</v>
      </c>
      <c r="C56" s="155" t="s">
        <v>354</v>
      </c>
      <c r="D56" s="206" t="s">
        <v>132</v>
      </c>
      <c r="E56" s="221" t="s">
        <v>158</v>
      </c>
      <c r="F56" s="221" t="s">
        <v>175</v>
      </c>
      <c r="G56" s="279"/>
      <c r="H56" s="93">
        <v>44835</v>
      </c>
      <c r="I56" s="267" t="s">
        <v>355</v>
      </c>
      <c r="J56" s="91">
        <f>IFERROR(VLOOKUP(C56,'QB Consolidated Contacts'!$A$1:$F$333,6),"-")</f>
        <v>0</v>
      </c>
      <c r="K56" s="276" t="s">
        <v>40</v>
      </c>
      <c r="L56" s="276"/>
      <c r="M56" s="276" t="s">
        <v>108</v>
      </c>
      <c r="N56" s="275"/>
      <c r="O56" s="276"/>
      <c r="P56" s="272" t="s">
        <v>290</v>
      </c>
      <c r="Q56" s="272"/>
      <c r="R56" s="273"/>
      <c r="S56" s="273"/>
      <c r="T56" s="274">
        <v>100</v>
      </c>
      <c r="U56" s="92">
        <v>24</v>
      </c>
      <c r="V56" s="93">
        <f t="shared" si="3"/>
        <v>45566</v>
      </c>
      <c r="W56" s="92">
        <f t="shared" ca="1" si="2"/>
        <v>-527</v>
      </c>
      <c r="X56" s="92" t="str">
        <f ca="1">IF(SOWS[[#This Row],[Days to Contract End]]&lt;=90,"R",IF(AND(SOWS[[#This Row],[Days to Contract End]]&lt;180),"A","G"))</f>
        <v>R</v>
      </c>
      <c r="Y56" s="235"/>
      <c r="Z56" s="51"/>
      <c r="AA56" s="52"/>
      <c r="AB56" s="52"/>
      <c r="AC56" s="52"/>
      <c r="AE56" s="52"/>
      <c r="AF56" s="52"/>
    </row>
    <row r="57" spans="2:32" ht="38.450000000000003" customHeight="1">
      <c r="B57" s="275" t="s">
        <v>51</v>
      </c>
      <c r="C57" s="155" t="s">
        <v>79</v>
      </c>
      <c r="D57" s="206" t="s">
        <v>132</v>
      </c>
      <c r="E57" s="221" t="s">
        <v>158</v>
      </c>
      <c r="F57" s="221" t="s">
        <v>356</v>
      </c>
      <c r="G57" s="279"/>
      <c r="H57" s="93">
        <v>45495</v>
      </c>
      <c r="I57" s="243" t="s">
        <v>80</v>
      </c>
      <c r="J57" s="278">
        <f>IFERROR(VLOOKUP(C57,'QB Consolidated Contacts'!$A$1:$F$333,6),"-")</f>
        <v>0</v>
      </c>
      <c r="K57" s="276" t="s">
        <v>39</v>
      </c>
      <c r="L57" s="276" t="s">
        <v>40</v>
      </c>
      <c r="M57" s="276" t="s">
        <v>347</v>
      </c>
      <c r="N57" s="275"/>
      <c r="O57" s="276"/>
      <c r="P57" s="272"/>
      <c r="Q57" s="272"/>
      <c r="R57" s="273"/>
      <c r="S57" s="273"/>
      <c r="T57" s="274"/>
      <c r="U57" s="92" t="s">
        <v>46</v>
      </c>
      <c r="V57" s="93" t="str">
        <f t="shared" si="3"/>
        <v/>
      </c>
      <c r="W57" s="92" t="str">
        <f t="shared" ca="1" si="2"/>
        <v/>
      </c>
      <c r="X57" s="92" t="str">
        <f ca="1">IF(SOWS[[#This Row],[Days to Contract End]]&lt;=90,"R",IF(AND(SOWS[[#This Row],[Days to Contract End]]&lt;180),"A","G"))</f>
        <v>G</v>
      </c>
      <c r="Y57" s="235"/>
      <c r="Z57" s="51"/>
      <c r="AA57" s="52"/>
      <c r="AB57" s="52"/>
      <c r="AC57" s="52"/>
      <c r="AE57" s="52"/>
      <c r="AF57" s="52"/>
    </row>
    <row r="58" spans="2:32" ht="38.450000000000003" customHeight="1">
      <c r="B58" s="275" t="s">
        <v>42</v>
      </c>
      <c r="C58" s="155" t="s">
        <v>85</v>
      </c>
      <c r="D58" s="206" t="s">
        <v>174</v>
      </c>
      <c r="E58" s="221" t="s">
        <v>158</v>
      </c>
      <c r="F58" s="221" t="s">
        <v>175</v>
      </c>
      <c r="G58" s="279"/>
      <c r="H58" s="93">
        <v>44901</v>
      </c>
      <c r="I58" s="267" t="s">
        <v>357</v>
      </c>
      <c r="J58" s="91">
        <f>IFERROR(VLOOKUP(C58,'QB Consolidated Contacts'!$A$1:$F$333,6),"-")</f>
        <v>0</v>
      </c>
      <c r="K58" s="276" t="s">
        <v>39</v>
      </c>
      <c r="L58" s="276"/>
      <c r="M58" s="276" t="s">
        <v>317</v>
      </c>
      <c r="N58" s="275"/>
      <c r="O58" s="276"/>
      <c r="P58" s="272"/>
      <c r="Q58" s="272"/>
      <c r="R58" s="273"/>
      <c r="S58" s="273"/>
      <c r="T58" s="274"/>
      <c r="U58" s="92">
        <v>12</v>
      </c>
      <c r="V58" s="93">
        <f t="shared" si="3"/>
        <v>45266</v>
      </c>
      <c r="W58" s="92">
        <f t="shared" ca="1" si="2"/>
        <v>-827</v>
      </c>
      <c r="X58" s="92" t="str">
        <f ca="1">IF(SOWS[[#This Row],[Days to Contract End]]&lt;=90,"R",IF(AND(SOWS[[#This Row],[Days to Contract End]]&lt;180),"A","G"))</f>
        <v>R</v>
      </c>
      <c r="Y58" s="235"/>
      <c r="Z58" s="51"/>
      <c r="AA58" s="52"/>
      <c r="AB58" s="52"/>
      <c r="AC58" s="52"/>
      <c r="AE58" s="52"/>
      <c r="AF58" s="52"/>
    </row>
    <row r="59" spans="2:32" ht="38.450000000000003" customHeight="1">
      <c r="B59" s="275" t="s">
        <v>42</v>
      </c>
      <c r="C59" s="155" t="s">
        <v>85</v>
      </c>
      <c r="D59" s="206" t="s">
        <v>174</v>
      </c>
      <c r="E59" s="221" t="s">
        <v>158</v>
      </c>
      <c r="F59" s="221" t="s">
        <v>175</v>
      </c>
      <c r="G59" s="279"/>
      <c r="H59" s="93">
        <v>44907</v>
      </c>
      <c r="I59" s="267" t="s">
        <v>358</v>
      </c>
      <c r="J59" s="91">
        <f>IFERROR(VLOOKUP(C59,'QB Consolidated Contacts'!$A$1:$F$333,6),"-")</f>
        <v>0</v>
      </c>
      <c r="K59" s="276" t="s">
        <v>39</v>
      </c>
      <c r="L59" s="276"/>
      <c r="M59" s="276" t="s">
        <v>317</v>
      </c>
      <c r="N59" s="275"/>
      <c r="O59" s="276"/>
      <c r="P59" s="272"/>
      <c r="Q59" s="272"/>
      <c r="R59" s="273"/>
      <c r="S59" s="273"/>
      <c r="T59" s="274"/>
      <c r="U59" s="92">
        <v>12</v>
      </c>
      <c r="V59" s="93">
        <f t="shared" si="3"/>
        <v>45272</v>
      </c>
      <c r="W59" s="92">
        <f t="shared" ca="1" si="2"/>
        <v>-821</v>
      </c>
      <c r="X59" s="92" t="str">
        <f ca="1">IF(SOWS[[#This Row],[Days to Contract End]]&lt;=90,"R",IF(AND(SOWS[[#This Row],[Days to Contract End]]&lt;180),"A","G"))</f>
        <v>R</v>
      </c>
      <c r="Y59" s="235" t="s">
        <v>359</v>
      </c>
      <c r="Z59" s="51"/>
      <c r="AA59" s="52"/>
      <c r="AB59" s="52"/>
      <c r="AC59" s="52"/>
      <c r="AE59" s="52"/>
      <c r="AF59" s="52"/>
    </row>
    <row r="60" spans="2:32" ht="38.450000000000003" customHeight="1">
      <c r="B60" s="275" t="s">
        <v>42</v>
      </c>
      <c r="C60" s="155" t="s">
        <v>85</v>
      </c>
      <c r="D60" s="206" t="s">
        <v>174</v>
      </c>
      <c r="E60" s="221" t="s">
        <v>158</v>
      </c>
      <c r="F60" s="221" t="s">
        <v>295</v>
      </c>
      <c r="G60" s="279"/>
      <c r="H60" s="93">
        <v>44901</v>
      </c>
      <c r="I60" s="267" t="s">
        <v>360</v>
      </c>
      <c r="J60" s="91">
        <f>IFERROR(VLOOKUP(C60,'QB Consolidated Contacts'!$A$1:$F$333,6),"-")</f>
        <v>0</v>
      </c>
      <c r="K60" s="276" t="s">
        <v>39</v>
      </c>
      <c r="L60" s="276"/>
      <c r="M60" s="276" t="s">
        <v>108</v>
      </c>
      <c r="N60" s="275"/>
      <c r="O60" s="276"/>
      <c r="P60" s="272" t="s">
        <v>290</v>
      </c>
      <c r="Q60" s="272"/>
      <c r="R60" s="273"/>
      <c r="S60" s="273"/>
      <c r="T60" s="274">
        <v>1120</v>
      </c>
      <c r="U60" s="92">
        <v>24</v>
      </c>
      <c r="V60" s="93">
        <f t="shared" si="3"/>
        <v>45632</v>
      </c>
      <c r="W60" s="92">
        <f t="shared" ca="1" si="2"/>
        <v>-461</v>
      </c>
      <c r="X60" s="92" t="str">
        <f ca="1">IF(SOWS[[#This Row],[Days to Contract End]]&lt;=90,"R",IF(AND(SOWS[[#This Row],[Days to Contract End]]&lt;180),"A","G"))</f>
        <v>R</v>
      </c>
      <c r="Y60" s="235"/>
      <c r="Z60" s="51"/>
      <c r="AA60" s="52"/>
      <c r="AB60" s="52"/>
      <c r="AC60" s="52"/>
      <c r="AE60" s="52"/>
      <c r="AF60" s="52"/>
    </row>
    <row r="61" spans="2:32" ht="38.450000000000003" customHeight="1">
      <c r="B61" s="275"/>
      <c r="C61" s="155" t="s">
        <v>85</v>
      </c>
      <c r="D61" s="206"/>
      <c r="E61" s="221"/>
      <c r="F61" s="221" t="s">
        <v>108</v>
      </c>
      <c r="G61" s="279"/>
      <c r="H61" s="93"/>
      <c r="I61" s="243" t="s">
        <v>361</v>
      </c>
      <c r="J61" s="278">
        <f>IFERROR(VLOOKUP(C61,'QB Consolidated Contacts'!$A$1:$F$333,6),"-")</f>
        <v>0</v>
      </c>
      <c r="K61" s="276" t="s">
        <v>40</v>
      </c>
      <c r="L61" s="276" t="s">
        <v>40</v>
      </c>
      <c r="M61" s="276" t="s">
        <v>108</v>
      </c>
      <c r="N61" s="275"/>
      <c r="O61" s="276"/>
      <c r="P61" s="272"/>
      <c r="Q61" s="272"/>
      <c r="R61" s="273"/>
      <c r="S61" s="273"/>
      <c r="T61" s="274"/>
      <c r="U61" s="92"/>
      <c r="V61" s="93">
        <f t="shared" si="3"/>
        <v>0</v>
      </c>
      <c r="W61" s="92">
        <f t="shared" ca="1" si="2"/>
        <v>-46093</v>
      </c>
      <c r="X61" s="92" t="str">
        <f ca="1">IF(SOWS[[#This Row],[Days to Contract End]]&lt;=90,"R",IF(AND(SOWS[[#This Row],[Days to Contract End]]&lt;180),"A","G"))</f>
        <v>R</v>
      </c>
      <c r="Y61" s="235"/>
      <c r="Z61" s="51"/>
      <c r="AA61" s="52"/>
      <c r="AB61" s="52"/>
      <c r="AC61" s="52"/>
      <c r="AE61" s="52"/>
      <c r="AF61" s="52"/>
    </row>
    <row r="62" spans="2:32" ht="38.450000000000003" customHeight="1">
      <c r="B62" s="275" t="s">
        <v>42</v>
      </c>
      <c r="C62" s="155" t="s">
        <v>89</v>
      </c>
      <c r="D62" s="206" t="s">
        <v>174</v>
      </c>
      <c r="E62" s="221" t="s">
        <v>158</v>
      </c>
      <c r="F62" s="221" t="s">
        <v>288</v>
      </c>
      <c r="G62" s="279"/>
      <c r="H62" s="93">
        <v>44645</v>
      </c>
      <c r="I62" s="266" t="s">
        <v>362</v>
      </c>
      <c r="J62" s="91">
        <f>IFERROR(VLOOKUP(C62,'QB Consolidated Contacts'!$A$1:$F$333,6),"-")</f>
        <v>0</v>
      </c>
      <c r="K62" s="276" t="s">
        <v>39</v>
      </c>
      <c r="L62" s="276"/>
      <c r="M62" s="276" t="s">
        <v>317</v>
      </c>
      <c r="N62" s="275"/>
      <c r="O62" s="276"/>
      <c r="P62" s="272"/>
      <c r="Q62" s="272"/>
      <c r="R62" s="273"/>
      <c r="S62" s="273"/>
      <c r="T62" s="274">
        <v>48</v>
      </c>
      <c r="U62" s="92">
        <v>12</v>
      </c>
      <c r="V62" s="93">
        <f t="shared" si="3"/>
        <v>45010</v>
      </c>
      <c r="W62" s="92">
        <f t="shared" ca="1" si="2"/>
        <v>-1083</v>
      </c>
      <c r="X62" s="92" t="str">
        <f ca="1">IF(SOWS[[#This Row],[Days to Contract End]]&lt;=90,"R",IF(AND(SOWS[[#This Row],[Days to Contract End]]&lt;180),"A","G"))</f>
        <v>R</v>
      </c>
      <c r="Y62" s="235"/>
      <c r="Z62" s="51"/>
      <c r="AA62" s="52"/>
      <c r="AB62" s="52"/>
      <c r="AC62" s="52"/>
      <c r="AE62" s="52"/>
      <c r="AF62" s="52"/>
    </row>
    <row r="63" spans="2:32" ht="38.450000000000003" customHeight="1">
      <c r="B63" s="275" t="s">
        <v>42</v>
      </c>
      <c r="C63" s="155" t="s">
        <v>89</v>
      </c>
      <c r="D63" s="206" t="s">
        <v>174</v>
      </c>
      <c r="E63" s="221" t="s">
        <v>158</v>
      </c>
      <c r="F63" s="221" t="s">
        <v>288</v>
      </c>
      <c r="G63" s="279"/>
      <c r="H63" s="93">
        <v>44136</v>
      </c>
      <c r="I63" s="266" t="s">
        <v>363</v>
      </c>
      <c r="J63" s="91">
        <f>IFERROR(VLOOKUP(C63,'QB Consolidated Contacts'!$A$1:$F$333,6),"-")</f>
        <v>0</v>
      </c>
      <c r="K63" s="276" t="s">
        <v>39</v>
      </c>
      <c r="L63" s="276"/>
      <c r="M63" s="276" t="s">
        <v>309</v>
      </c>
      <c r="N63" s="275"/>
      <c r="O63" s="276"/>
      <c r="P63" s="272"/>
      <c r="Q63" s="272"/>
      <c r="R63" s="273"/>
      <c r="S63" s="273"/>
      <c r="T63" s="274"/>
      <c r="U63" s="92" t="s">
        <v>46</v>
      </c>
      <c r="V63" s="93" t="str">
        <f t="shared" si="3"/>
        <v/>
      </c>
      <c r="W63" s="92" t="str">
        <f t="shared" ca="1" si="2"/>
        <v/>
      </c>
      <c r="X63" s="92" t="str">
        <f ca="1">IF(SOWS[[#This Row],[Days to Contract End]]&lt;=90,"R",IF(AND(SOWS[[#This Row],[Days to Contract End]]&lt;180),"A","G"))</f>
        <v>G</v>
      </c>
      <c r="Y63" s="235"/>
      <c r="Z63" s="51"/>
      <c r="AA63" s="52"/>
      <c r="AB63" s="52"/>
      <c r="AC63" s="52"/>
      <c r="AE63" s="52"/>
      <c r="AF63" s="52"/>
    </row>
    <row r="64" spans="2:32" ht="38.450000000000003" customHeight="1">
      <c r="B64" s="275"/>
      <c r="C64" s="155" t="s">
        <v>364</v>
      </c>
      <c r="D64" s="206"/>
      <c r="E64" s="221" t="s">
        <v>158</v>
      </c>
      <c r="F64" s="221" t="s">
        <v>175</v>
      </c>
      <c r="G64" s="279"/>
      <c r="H64" s="93">
        <v>44378</v>
      </c>
      <c r="I64" s="267" t="s">
        <v>365</v>
      </c>
      <c r="J64" s="91">
        <f>IFERROR(VLOOKUP(C64,'QB Consolidated Contacts'!$A$1:$F$333,6),"-")</f>
        <v>0</v>
      </c>
      <c r="K64" s="276" t="s">
        <v>39</v>
      </c>
      <c r="L64" s="276"/>
      <c r="M64" s="276" t="s">
        <v>309</v>
      </c>
      <c r="N64" s="275"/>
      <c r="O64" s="276"/>
      <c r="P64" s="272"/>
      <c r="Q64" s="272"/>
      <c r="R64" s="273"/>
      <c r="S64" s="273"/>
      <c r="T64" s="274"/>
      <c r="U64" s="92" t="s">
        <v>46</v>
      </c>
      <c r="V64" s="93" t="str">
        <f t="shared" si="3"/>
        <v/>
      </c>
      <c r="W64" s="92" t="str">
        <f t="shared" ca="1" si="2"/>
        <v/>
      </c>
      <c r="X64" s="92" t="str">
        <f ca="1">IF(SOWS[[#This Row],[Days to Contract End]]&lt;=90,"R",IF(AND(SOWS[[#This Row],[Days to Contract End]]&lt;180),"A","G"))</f>
        <v>G</v>
      </c>
      <c r="Y64" s="235"/>
      <c r="Z64" s="51"/>
      <c r="AA64" s="52"/>
      <c r="AB64" s="52"/>
      <c r="AC64" s="52"/>
      <c r="AE64" s="52"/>
      <c r="AF64" s="52"/>
    </row>
    <row r="65" spans="2:32" ht="38.450000000000003" customHeight="1">
      <c r="B65" s="275" t="s">
        <v>42</v>
      </c>
      <c r="C65" t="s">
        <v>92</v>
      </c>
      <c r="D65" s="206" t="s">
        <v>174</v>
      </c>
      <c r="E65" s="221" t="s">
        <v>158</v>
      </c>
      <c r="F65" s="221" t="s">
        <v>175</v>
      </c>
      <c r="G65" s="279"/>
      <c r="H65" s="93">
        <v>45369</v>
      </c>
      <c r="I65" s="243" t="s">
        <v>366</v>
      </c>
      <c r="J65" s="278" t="s">
        <v>144</v>
      </c>
      <c r="K65" s="276" t="s">
        <v>40</v>
      </c>
      <c r="L65" s="276" t="s">
        <v>40</v>
      </c>
      <c r="M65" s="276" t="s">
        <v>315</v>
      </c>
      <c r="N65" s="275"/>
      <c r="O65" s="276"/>
      <c r="P65" s="272"/>
      <c r="Q65" s="272"/>
      <c r="R65" s="273"/>
      <c r="S65" s="273"/>
      <c r="T65" s="274"/>
      <c r="U65" s="92" t="s">
        <v>220</v>
      </c>
      <c r="V65" s="93" t="str">
        <f t="shared" si="3"/>
        <v/>
      </c>
      <c r="W65" s="92" t="str">
        <f t="shared" ca="1" si="2"/>
        <v/>
      </c>
      <c r="X65" s="92" t="str">
        <f ca="1">IF(SOWS[[#This Row],[Days to Contract End]]&lt;=90,"R",IF(AND(SOWS[[#This Row],[Days to Contract End]]&lt;180),"A","G"))</f>
        <v>G</v>
      </c>
      <c r="Y65" s="235"/>
      <c r="Z65" s="51"/>
      <c r="AA65" s="52"/>
      <c r="AB65" s="52"/>
      <c r="AC65" s="52"/>
      <c r="AE65" s="52"/>
      <c r="AF65" s="52"/>
    </row>
    <row r="66" spans="2:32" ht="38.450000000000003" customHeight="1">
      <c r="B66" s="275" t="s">
        <v>51</v>
      </c>
      <c r="C66" s="155" t="s">
        <v>94</v>
      </c>
      <c r="D66" s="206" t="s">
        <v>132</v>
      </c>
      <c r="E66" s="221" t="s">
        <v>320</v>
      </c>
      <c r="F66" s="221" t="s">
        <v>288</v>
      </c>
      <c r="G66" s="279"/>
      <c r="H66" s="93">
        <v>45117</v>
      </c>
      <c r="I66" s="266" t="s">
        <v>367</v>
      </c>
      <c r="J66" s="91">
        <f>IFERROR(VLOOKUP(C66,'QB Consolidated Contacts'!$A$1:$F$333,6),"-")</f>
        <v>0</v>
      </c>
      <c r="K66" s="276" t="s">
        <v>39</v>
      </c>
      <c r="L66" s="276"/>
      <c r="M66" s="276" t="s">
        <v>315</v>
      </c>
      <c r="N66" s="275"/>
      <c r="O66" s="276"/>
      <c r="P66" s="272"/>
      <c r="Q66" s="272"/>
      <c r="R66" s="273"/>
      <c r="S66" s="273"/>
      <c r="T66" s="274"/>
      <c r="U66" s="92"/>
      <c r="V66" s="93">
        <f t="shared" si="3"/>
        <v>45117</v>
      </c>
      <c r="W66" s="92">
        <f t="shared" ca="1" si="2"/>
        <v>-976</v>
      </c>
      <c r="X66" s="92" t="str">
        <f ca="1">IF(SOWS[[#This Row],[Days to Contract End]]&lt;=90,"R",IF(AND(SOWS[[#This Row],[Days to Contract End]]&lt;180),"A","G"))</f>
        <v>R</v>
      </c>
      <c r="Y66" s="235" t="s">
        <v>368</v>
      </c>
      <c r="Z66" s="51"/>
      <c r="AA66" s="52"/>
      <c r="AB66" s="52"/>
      <c r="AC66" s="52"/>
      <c r="AE66" s="52"/>
      <c r="AF66" s="52"/>
    </row>
    <row r="67" spans="2:32" ht="38.450000000000003" customHeight="1">
      <c r="B67" s="275" t="s">
        <v>51</v>
      </c>
      <c r="C67" s="155" t="s">
        <v>94</v>
      </c>
      <c r="D67" s="206" t="s">
        <v>132</v>
      </c>
      <c r="E67" s="221" t="s">
        <v>320</v>
      </c>
      <c r="F67" s="221" t="s">
        <v>288</v>
      </c>
      <c r="G67" s="279"/>
      <c r="H67" s="93">
        <v>44848</v>
      </c>
      <c r="I67" s="266" t="s">
        <v>369</v>
      </c>
      <c r="J67" s="91">
        <f>IFERROR(VLOOKUP(C67,'QB Consolidated Contacts'!$A$1:$F$333,6),"-")</f>
        <v>0</v>
      </c>
      <c r="K67" s="276" t="s">
        <v>39</v>
      </c>
      <c r="L67" s="276"/>
      <c r="M67" s="276" t="s">
        <v>315</v>
      </c>
      <c r="N67" s="275"/>
      <c r="O67" s="276"/>
      <c r="P67" s="272"/>
      <c r="Q67" s="272"/>
      <c r="R67" s="273"/>
      <c r="S67" s="273"/>
      <c r="T67" s="274"/>
      <c r="U67" s="92">
        <v>36</v>
      </c>
      <c r="V67" s="93">
        <f t="shared" si="3"/>
        <v>45944</v>
      </c>
      <c r="W67" s="92">
        <f t="shared" ca="1" si="2"/>
        <v>-149</v>
      </c>
      <c r="X67" s="92" t="str">
        <f ca="1">IF(SOWS[[#This Row],[Days to Contract End]]&lt;=90,"R",IF(AND(SOWS[[#This Row],[Days to Contract End]]&lt;180),"A","G"))</f>
        <v>R</v>
      </c>
      <c r="Y67" s="235"/>
      <c r="Z67" s="51"/>
      <c r="AA67" s="52"/>
      <c r="AB67" s="52"/>
      <c r="AC67" s="52"/>
      <c r="AE67" s="52"/>
      <c r="AF67" s="52"/>
    </row>
    <row r="68" spans="2:32" ht="38.450000000000003" customHeight="1">
      <c r="B68" s="275" t="s">
        <v>51</v>
      </c>
      <c r="C68" s="155" t="s">
        <v>94</v>
      </c>
      <c r="D68" s="206" t="s">
        <v>132</v>
      </c>
      <c r="E68" s="221" t="s">
        <v>158</v>
      </c>
      <c r="F68" s="221" t="s">
        <v>288</v>
      </c>
      <c r="G68" s="279"/>
      <c r="H68" s="93">
        <v>44848</v>
      </c>
      <c r="I68" s="267" t="s">
        <v>370</v>
      </c>
      <c r="J68" s="91">
        <f>IFERROR(VLOOKUP(C68,'QB Consolidated Contacts'!$A$1:$F$333,6),"-")</f>
        <v>0</v>
      </c>
      <c r="K68" s="276" t="s">
        <v>39</v>
      </c>
      <c r="L68" s="276"/>
      <c r="M68" s="276" t="s">
        <v>315</v>
      </c>
      <c r="N68" s="275" t="s">
        <v>39</v>
      </c>
      <c r="O68" s="277">
        <v>101102037</v>
      </c>
      <c r="P68" s="272" t="s">
        <v>290</v>
      </c>
      <c r="Q68" s="272"/>
      <c r="R68" s="273"/>
      <c r="S68" s="273"/>
      <c r="T68" s="274" t="s">
        <v>371</v>
      </c>
      <c r="U68" s="92">
        <v>36</v>
      </c>
      <c r="V68" s="93">
        <f t="shared" si="3"/>
        <v>45944</v>
      </c>
      <c r="W68" s="92">
        <f t="shared" ca="1" si="2"/>
        <v>-149</v>
      </c>
      <c r="X68" s="92" t="str">
        <f ca="1">IF(SOWS[[#This Row],[Days to Contract End]]&lt;=90,"R",IF(AND(SOWS[[#This Row],[Days to Contract End]]&lt;180),"A","G"))</f>
        <v>R</v>
      </c>
      <c r="Y68" s="235" t="s">
        <v>372</v>
      </c>
      <c r="Z68" s="51"/>
      <c r="AA68" s="52"/>
      <c r="AB68" s="52"/>
      <c r="AC68" s="52"/>
      <c r="AE68" s="52"/>
      <c r="AF68" s="52"/>
    </row>
    <row r="69" spans="2:32" ht="38.450000000000003" customHeight="1">
      <c r="B69" s="275" t="s">
        <v>42</v>
      </c>
      <c r="C69" s="155" t="s">
        <v>96</v>
      </c>
      <c r="D69" s="206"/>
      <c r="E69" s="221" t="s">
        <v>158</v>
      </c>
      <c r="F69" s="221" t="s">
        <v>288</v>
      </c>
      <c r="G69" s="279"/>
      <c r="H69" s="93">
        <v>45200</v>
      </c>
      <c r="I69" s="243" t="s">
        <v>373</v>
      </c>
      <c r="J69" s="91" t="s">
        <v>374</v>
      </c>
      <c r="K69" s="276" t="s">
        <v>39</v>
      </c>
      <c r="L69" s="276" t="s">
        <v>39</v>
      </c>
      <c r="M69" s="276" t="s">
        <v>315</v>
      </c>
      <c r="N69" s="275"/>
      <c r="O69" s="276"/>
      <c r="P69" s="272"/>
      <c r="Q69" s="272"/>
      <c r="R69" s="273"/>
      <c r="S69" s="273"/>
      <c r="T69" s="274"/>
      <c r="U69" s="92">
        <v>36</v>
      </c>
      <c r="V69" s="93">
        <f t="shared" si="3"/>
        <v>46296</v>
      </c>
      <c r="W69" s="92">
        <f t="shared" ca="1" si="2"/>
        <v>203</v>
      </c>
      <c r="X69" s="92" t="str">
        <f ca="1">IF(SOWS[[#This Row],[Days to Contract End]]&lt;=90,"R",IF(AND(SOWS[[#This Row],[Days to Contract End]]&lt;180),"A","G"))</f>
        <v>G</v>
      </c>
      <c r="Y69" s="235"/>
      <c r="Z69" s="51"/>
      <c r="AA69" s="52"/>
      <c r="AB69" s="52"/>
      <c r="AC69" s="52"/>
      <c r="AE69" s="52"/>
      <c r="AF69" s="52"/>
    </row>
    <row r="70" spans="2:32" ht="38.450000000000003" customHeight="1">
      <c r="B70" s="275" t="s">
        <v>42</v>
      </c>
      <c r="C70" s="155" t="s">
        <v>96</v>
      </c>
      <c r="D70" s="206" t="s">
        <v>132</v>
      </c>
      <c r="E70" s="221" t="s">
        <v>158</v>
      </c>
      <c r="F70" s="221" t="s">
        <v>288</v>
      </c>
      <c r="G70" s="279"/>
      <c r="H70" s="93">
        <v>45200</v>
      </c>
      <c r="I70" s="243" t="s">
        <v>373</v>
      </c>
      <c r="J70" s="91">
        <f>IFERROR(VLOOKUP(C70,'QB Consolidated Contacts'!$A$1:$F$333,6),"-")</f>
        <v>0</v>
      </c>
      <c r="K70" s="276" t="s">
        <v>39</v>
      </c>
      <c r="L70" s="276" t="s">
        <v>39</v>
      </c>
      <c r="M70" s="276" t="s">
        <v>315</v>
      </c>
      <c r="N70" s="275"/>
      <c r="O70" s="276" t="s">
        <v>40</v>
      </c>
      <c r="P70" s="272" t="s">
        <v>290</v>
      </c>
      <c r="Q70" s="272"/>
      <c r="R70" s="273">
        <v>4050</v>
      </c>
      <c r="S70" s="273">
        <f>SOWS[[#This Row],[Monthly Budget]]*36</f>
        <v>145800</v>
      </c>
      <c r="T70" s="274">
        <v>40</v>
      </c>
      <c r="U70" s="92">
        <v>36</v>
      </c>
      <c r="V70" s="93">
        <v>46295</v>
      </c>
      <c r="W70" s="92">
        <v>1440</v>
      </c>
      <c r="X70" s="92" t="str">
        <f>IF(SOWS[[#This Row],[Days to Contract End]]&lt;=90,"R",IF(AND(SOWS[[#This Row],[Days to Contract End]]&lt;180),"A","G"))</f>
        <v>G</v>
      </c>
      <c r="Y70" s="235" t="s">
        <v>375</v>
      </c>
      <c r="Z70" s="51"/>
      <c r="AA70" s="52"/>
      <c r="AB70" s="52"/>
      <c r="AC70" s="52"/>
      <c r="AE70" s="52"/>
      <c r="AF70" s="52"/>
    </row>
    <row r="71" spans="2:32" ht="38.450000000000003" customHeight="1">
      <c r="B71" s="275" t="s">
        <v>42</v>
      </c>
      <c r="C71" s="155" t="s">
        <v>96</v>
      </c>
      <c r="D71" s="206" t="s">
        <v>132</v>
      </c>
      <c r="E71" s="221" t="s">
        <v>158</v>
      </c>
      <c r="F71" s="221" t="s">
        <v>288</v>
      </c>
      <c r="G71" s="279"/>
      <c r="H71" s="93">
        <v>43709</v>
      </c>
      <c r="I71" s="267" t="s">
        <v>376</v>
      </c>
      <c r="J71" s="91">
        <f>IFERROR(VLOOKUP(C71,'QB Consolidated Contacts'!$A$1:$F$333,6),"-")</f>
        <v>0</v>
      </c>
      <c r="K71" s="276" t="s">
        <v>39</v>
      </c>
      <c r="L71" s="276"/>
      <c r="M71" s="276" t="s">
        <v>317</v>
      </c>
      <c r="N71" s="275"/>
      <c r="O71" s="276" t="s">
        <v>40</v>
      </c>
      <c r="P71" s="272" t="s">
        <v>290</v>
      </c>
      <c r="Q71" s="272"/>
      <c r="R71" s="273"/>
      <c r="S71" s="273"/>
      <c r="T71" s="274"/>
      <c r="U71" s="92">
        <v>24</v>
      </c>
      <c r="V71" s="93">
        <f>IFERROR(EDATE(H71,U71),"")</f>
        <v>44440</v>
      </c>
      <c r="W71" s="92">
        <f ca="1">IFERROR(V71-TODAY(),"")</f>
        <v>-1653</v>
      </c>
      <c r="X71" s="92" t="str">
        <f ca="1">IF(SOWS[[#This Row],[Days to Contract End]]&lt;=90,"R",IF(AND(SOWS[[#This Row],[Days to Contract End]]&lt;180),"A","G"))</f>
        <v>R</v>
      </c>
      <c r="Y71" s="235"/>
      <c r="Z71" s="51"/>
      <c r="AA71" s="52"/>
      <c r="AB71" s="52"/>
      <c r="AC71" s="52"/>
      <c r="AE71" s="52"/>
      <c r="AF71" s="52"/>
    </row>
    <row r="72" spans="2:32" ht="38.450000000000003" customHeight="1">
      <c r="B72" s="275" t="s">
        <v>42</v>
      </c>
      <c r="C72" s="155" t="s">
        <v>97</v>
      </c>
      <c r="D72" s="206" t="s">
        <v>132</v>
      </c>
      <c r="E72" s="221" t="s">
        <v>158</v>
      </c>
      <c r="F72" s="221" t="s">
        <v>175</v>
      </c>
      <c r="G72" s="279"/>
      <c r="H72" s="93">
        <v>45110</v>
      </c>
      <c r="I72" s="266" t="s">
        <v>377</v>
      </c>
      <c r="J72" s="91">
        <f>IFERROR(VLOOKUP(C72,'QB Consolidated Contacts'!$A$1:$F$333,6),"-")</f>
        <v>0</v>
      </c>
      <c r="K72" s="276" t="s">
        <v>40</v>
      </c>
      <c r="L72" s="276"/>
      <c r="M72" s="276" t="s">
        <v>315</v>
      </c>
      <c r="N72" s="275"/>
      <c r="O72" s="276">
        <v>100550</v>
      </c>
      <c r="P72" s="272"/>
      <c r="Q72" s="272"/>
      <c r="R72" s="273"/>
      <c r="S72" s="273"/>
      <c r="T72" s="274"/>
      <c r="U72" s="92">
        <v>7.5</v>
      </c>
      <c r="V72" s="93">
        <v>45350</v>
      </c>
      <c r="W72" s="92">
        <f ca="1">IFERROR(V72-TODAY(),"")</f>
        <v>-743</v>
      </c>
      <c r="X72" s="92" t="str">
        <f ca="1">IF(SOWS[[#This Row],[Days to Contract End]]&lt;=90,"R",IF(AND(SOWS[[#This Row],[Days to Contract End]]&lt;180),"A","G"))</f>
        <v>R</v>
      </c>
      <c r="Y72" s="235"/>
      <c r="Z72" s="51"/>
      <c r="AA72" s="52"/>
      <c r="AB72" s="52"/>
      <c r="AC72" s="52"/>
      <c r="AE72" s="52"/>
      <c r="AF72" s="52"/>
    </row>
    <row r="73" spans="2:32" ht="38.450000000000003" customHeight="1">
      <c r="B73" s="275" t="s">
        <v>42</v>
      </c>
      <c r="C73" s="155" t="s">
        <v>378</v>
      </c>
      <c r="D73" s="206" t="s">
        <v>132</v>
      </c>
      <c r="E73" s="221" t="s">
        <v>158</v>
      </c>
      <c r="F73" s="221" t="s">
        <v>175</v>
      </c>
      <c r="G73" s="279"/>
      <c r="H73" s="93">
        <v>44512</v>
      </c>
      <c r="I73" s="267" t="s">
        <v>379</v>
      </c>
      <c r="J73" s="91">
        <f>IFERROR(VLOOKUP(C73,'QB Consolidated Contacts'!$A$1:$F$333,6),"-")</f>
        <v>0</v>
      </c>
      <c r="K73" s="276" t="s">
        <v>39</v>
      </c>
      <c r="L73" s="276"/>
      <c r="M73" s="276" t="s">
        <v>309</v>
      </c>
      <c r="N73" s="275"/>
      <c r="O73" s="276"/>
      <c r="P73" s="272" t="s">
        <v>290</v>
      </c>
      <c r="Q73" s="272"/>
      <c r="R73" s="273"/>
      <c r="S73" s="273"/>
      <c r="T73" s="274">
        <v>1300</v>
      </c>
      <c r="U73" s="92" t="s">
        <v>46</v>
      </c>
      <c r="V73" s="93" t="str">
        <f>IFERROR(EDATE(H73,U73),"")</f>
        <v/>
      </c>
      <c r="W73" s="92" t="str">
        <f ca="1">IFERROR(V73-TODAY(),"")</f>
        <v/>
      </c>
      <c r="X73" s="92" t="str">
        <f ca="1">IF(SOWS[[#This Row],[Days to Contract End]]&lt;=90,"R",IF(AND(SOWS[[#This Row],[Days to Contract End]]&lt;180),"A","G"))</f>
        <v>G</v>
      </c>
      <c r="Y73" s="235" t="s">
        <v>380</v>
      </c>
      <c r="Z73" s="51"/>
      <c r="AA73" s="52"/>
      <c r="AB73" s="52"/>
      <c r="AC73" s="52"/>
      <c r="AE73" s="52"/>
      <c r="AF73" s="52"/>
    </row>
    <row r="74" spans="2:32" ht="38.450000000000003" customHeight="1">
      <c r="B74" s="275" t="s">
        <v>42</v>
      </c>
      <c r="C74" s="155" t="s">
        <v>378</v>
      </c>
      <c r="D74" s="206" t="s">
        <v>132</v>
      </c>
      <c r="E74" s="221" t="s">
        <v>158</v>
      </c>
      <c r="F74" s="221" t="s">
        <v>295</v>
      </c>
      <c r="G74" s="279"/>
      <c r="H74" s="93">
        <v>44850</v>
      </c>
      <c r="I74" s="267" t="s">
        <v>381</v>
      </c>
      <c r="J74" s="91">
        <f>IFERROR(VLOOKUP(C74,'QB Consolidated Contacts'!$A$1:$F$333,6),"-")</f>
        <v>0</v>
      </c>
      <c r="K74" s="276" t="s">
        <v>39</v>
      </c>
      <c r="L74" s="276"/>
      <c r="M74" s="276" t="s">
        <v>309</v>
      </c>
      <c r="N74" s="275" t="s">
        <v>39</v>
      </c>
      <c r="O74" s="277" t="s">
        <v>382</v>
      </c>
      <c r="P74" s="272" t="s">
        <v>383</v>
      </c>
      <c r="Q74" s="272"/>
      <c r="R74" s="273"/>
      <c r="S74" s="273">
        <f>55440</f>
        <v>55440</v>
      </c>
      <c r="T74" s="274">
        <f>40+40+32</f>
        <v>112</v>
      </c>
      <c r="U74" s="92"/>
      <c r="V74" s="93">
        <f>IFERROR(EDATE(H74,U74),"")</f>
        <v>44850</v>
      </c>
      <c r="W74" s="92">
        <f ca="1">IFERROR(V74-TODAY(),"")</f>
        <v>-1243</v>
      </c>
      <c r="X74" s="92" t="str">
        <f ca="1">IF(SOWS[[#This Row],[Days to Contract End]]&lt;=90,"R",IF(AND(SOWS[[#This Row],[Days to Contract End]]&lt;180),"A","G"))</f>
        <v>R</v>
      </c>
      <c r="Y74" s="235"/>
      <c r="Z74" s="51"/>
      <c r="AA74" s="52"/>
      <c r="AB74" s="52"/>
      <c r="AC74" s="52"/>
      <c r="AE74" s="52"/>
      <c r="AF74" s="52"/>
    </row>
    <row r="75" spans="2:32" ht="38.450000000000003" customHeight="1">
      <c r="B75" s="275"/>
      <c r="C75" s="155" t="s">
        <v>101</v>
      </c>
      <c r="D75" s="206"/>
      <c r="E75" s="221"/>
      <c r="F75" s="221"/>
      <c r="G75" s="279"/>
      <c r="H75" s="93"/>
      <c r="I75" s="268"/>
      <c r="J75" s="91">
        <f>IFERROR(VLOOKUP(C75,'QB Consolidated Contacts'!$A$1:$F$333,6),"-")</f>
        <v>0</v>
      </c>
      <c r="K75" s="276"/>
      <c r="L75" s="276"/>
      <c r="M75" s="276" t="s">
        <v>108</v>
      </c>
      <c r="N75" s="275"/>
      <c r="O75" s="276"/>
      <c r="P75" s="272"/>
      <c r="Q75" s="272"/>
      <c r="R75" s="273"/>
      <c r="S75" s="273"/>
      <c r="T75" s="274"/>
      <c r="U75" s="92"/>
      <c r="V75" s="93">
        <f>IFERROR(EDATE(H75,U75),"")</f>
        <v>0</v>
      </c>
      <c r="W75" s="92">
        <f ca="1">IFERROR(V75-TODAY(),"")</f>
        <v>-46093</v>
      </c>
      <c r="X75" s="92" t="str">
        <f ca="1">IF(SOWS[[#This Row],[Days to Contract End]]&lt;=90,"R",IF(AND(SOWS[[#This Row],[Days to Contract End]]&lt;180),"A","G"))</f>
        <v>R</v>
      </c>
      <c r="Y75" s="235"/>
      <c r="Z75" s="51"/>
      <c r="AA75" s="52"/>
      <c r="AB75" s="52"/>
      <c r="AC75" s="52"/>
      <c r="AE75" s="52"/>
      <c r="AF75" s="52"/>
    </row>
    <row r="76" spans="2:32" ht="38.450000000000003" customHeight="1">
      <c r="B76" s="275" t="s">
        <v>42</v>
      </c>
      <c r="C76" s="155" t="s">
        <v>384</v>
      </c>
      <c r="D76" s="206" t="s">
        <v>174</v>
      </c>
      <c r="E76" s="221" t="s">
        <v>385</v>
      </c>
      <c r="F76" s="221" t="s">
        <v>288</v>
      </c>
      <c r="G76" s="279">
        <v>45030</v>
      </c>
      <c r="H76" s="279" t="s">
        <v>386</v>
      </c>
      <c r="I76" s="243" t="s">
        <v>387</v>
      </c>
      <c r="J76" s="91" t="str">
        <f>IFERROR(VLOOKUP(Agreements!B172,'QB Consolidated Contacts'!$A$1:$F$333,6),"-")</f>
        <v>-</v>
      </c>
      <c r="K76" s="276" t="s">
        <v>39</v>
      </c>
      <c r="L76" s="276" t="s">
        <v>39</v>
      </c>
      <c r="M76" s="276"/>
      <c r="N76" s="275"/>
      <c r="O76" s="276"/>
      <c r="P76" s="272"/>
      <c r="Q76" s="272"/>
      <c r="R76" s="273"/>
      <c r="S76" s="273"/>
      <c r="T76" s="274"/>
      <c r="U76" s="92"/>
      <c r="V76" s="93">
        <f>IFERROR(EDATE(Agreements!U172,Agreements!V172),"")</f>
        <v>0</v>
      </c>
      <c r="W76" s="92">
        <f ca="1">IFERROR(Agreements!W172-TODAY(),"")</f>
        <v>-46093</v>
      </c>
      <c r="X76" s="92" t="str">
        <f ca="1">IF(SOWS[[#This Row],[Days to Contract End]]&lt;=90,"R",IF(AND(SOWS[[#This Row],[Days to Contract End]]&lt;180),"A","G"))</f>
        <v>R</v>
      </c>
      <c r="Y76" s="235"/>
      <c r="Z76" s="51"/>
      <c r="AA76" s="52"/>
      <c r="AB76" s="52"/>
      <c r="AC76" s="52"/>
      <c r="AE76" s="52"/>
      <c r="AF76" s="52"/>
    </row>
    <row r="77" spans="2:32" ht="38.450000000000003" customHeight="1">
      <c r="B77" s="275" t="s">
        <v>42</v>
      </c>
      <c r="C77" s="155" t="s">
        <v>384</v>
      </c>
      <c r="D77" s="206" t="s">
        <v>174</v>
      </c>
      <c r="E77" s="221" t="s">
        <v>385</v>
      </c>
      <c r="F77" s="221" t="s">
        <v>288</v>
      </c>
      <c r="G77" s="279"/>
      <c r="H77" s="93">
        <v>45145</v>
      </c>
      <c r="I77" s="266" t="s">
        <v>388</v>
      </c>
      <c r="J77" s="91">
        <f>IFERROR(VLOOKUP(C77,'QB Consolidated Contacts'!$A$1:$F$333,6),"-")</f>
        <v>0</v>
      </c>
      <c r="K77" s="276" t="s">
        <v>39</v>
      </c>
      <c r="L77" s="276" t="s">
        <v>39</v>
      </c>
      <c r="M77" s="276" t="s">
        <v>315</v>
      </c>
      <c r="N77" s="275"/>
      <c r="O77" s="276"/>
      <c r="P77" s="272"/>
      <c r="Q77" s="272"/>
      <c r="R77" s="273"/>
      <c r="S77" s="273"/>
      <c r="T77" s="274" t="s">
        <v>389</v>
      </c>
      <c r="U77" s="92" t="s">
        <v>390</v>
      </c>
      <c r="V77" s="93">
        <v>45535</v>
      </c>
      <c r="W77" s="92">
        <f t="shared" ref="W77:W96" ca="1" si="4">IFERROR(V77-TODAY(),"")</f>
        <v>-558</v>
      </c>
      <c r="X77" s="92" t="str">
        <f ca="1">IF(SOWS[[#This Row],[Days to Contract End]]&lt;=90,"R",IF(AND(SOWS[[#This Row],[Days to Contract End]]&lt;180),"A","G"))</f>
        <v>R</v>
      </c>
      <c r="Y77" s="235" t="s">
        <v>391</v>
      </c>
      <c r="AA77" s="72"/>
      <c r="AB77" s="51"/>
      <c r="AC77" s="52"/>
      <c r="AE77" s="52"/>
      <c r="AF77" s="52"/>
    </row>
    <row r="78" spans="2:32" ht="38.450000000000003" customHeight="1">
      <c r="B78" s="275" t="s">
        <v>42</v>
      </c>
      <c r="C78" s="155" t="s">
        <v>384</v>
      </c>
      <c r="D78" s="206" t="s">
        <v>174</v>
      </c>
      <c r="E78" s="282" t="s">
        <v>351</v>
      </c>
      <c r="F78" s="221" t="s">
        <v>288</v>
      </c>
      <c r="G78" s="279"/>
      <c r="H78" s="93">
        <v>45084</v>
      </c>
      <c r="I78" s="266" t="s">
        <v>392</v>
      </c>
      <c r="J78" s="91">
        <f>IFERROR(VLOOKUP(C78,'QB Consolidated Contacts'!$A$1:$F$333,6),"-")</f>
        <v>0</v>
      </c>
      <c r="K78" s="276" t="s">
        <v>40</v>
      </c>
      <c r="L78" s="276" t="s">
        <v>39</v>
      </c>
      <c r="M78" s="276" t="s">
        <v>315</v>
      </c>
      <c r="N78" s="275"/>
      <c r="O78" s="276" t="s">
        <v>393</v>
      </c>
      <c r="P78" s="272"/>
      <c r="Q78" s="272"/>
      <c r="R78" s="273"/>
      <c r="S78" s="273"/>
      <c r="T78" s="274"/>
      <c r="U78" s="92">
        <v>12</v>
      </c>
      <c r="V78" s="93">
        <f>IFERROR(EDATE(H78,U78),"")</f>
        <v>45450</v>
      </c>
      <c r="W78" s="92">
        <f t="shared" ca="1" si="4"/>
        <v>-643</v>
      </c>
      <c r="X78" s="92" t="str">
        <f ca="1">IF(SOWS[[#This Row],[Days to Contract End]]&lt;=90,"R",IF(AND(SOWS[[#This Row],[Days to Contract End]]&lt;180),"A","G"))</f>
        <v>R</v>
      </c>
      <c r="Y78" s="235"/>
      <c r="Z78" s="51"/>
      <c r="AA78" s="52"/>
      <c r="AB78" s="52"/>
      <c r="AC78" s="52"/>
      <c r="AE78" s="52"/>
      <c r="AF78" s="52"/>
    </row>
    <row r="79" spans="2:32" ht="38.450000000000003" customHeight="1">
      <c r="B79" s="275" t="s">
        <v>42</v>
      </c>
      <c r="C79" s="155" t="s">
        <v>384</v>
      </c>
      <c r="D79" s="206" t="s">
        <v>132</v>
      </c>
      <c r="E79" s="221" t="s">
        <v>158</v>
      </c>
      <c r="F79" s="221" t="s">
        <v>288</v>
      </c>
      <c r="G79" s="279"/>
      <c r="H79" s="93">
        <v>45030</v>
      </c>
      <c r="I79" s="280" t="s">
        <v>394</v>
      </c>
      <c r="J79" s="91">
        <f>IFERROR(VLOOKUP(C79,'QB Consolidated Contacts'!$A$1:$F$333,6),"-")</f>
        <v>0</v>
      </c>
      <c r="K79" s="276" t="s">
        <v>40</v>
      </c>
      <c r="L79" s="276"/>
      <c r="M79" s="276" t="s">
        <v>317</v>
      </c>
      <c r="N79" s="275" t="s">
        <v>39</v>
      </c>
      <c r="O79" s="276"/>
      <c r="P79" s="272" t="s">
        <v>290</v>
      </c>
      <c r="Q79" s="272"/>
      <c r="R79" s="273"/>
      <c r="S79" s="273"/>
      <c r="T79" s="274">
        <v>660</v>
      </c>
      <c r="U79" s="92"/>
      <c r="V79" s="93">
        <f>IFERROR(EDATE(H79,U79),"")</f>
        <v>45030</v>
      </c>
      <c r="W79" s="92">
        <f t="shared" ca="1" si="4"/>
        <v>-1063</v>
      </c>
      <c r="X79" s="92" t="str">
        <f ca="1">IF(SOWS[[#This Row],[Days to Contract End]]&lt;=90,"R",IF(AND(SOWS[[#This Row],[Days to Contract End]]&lt;180),"A","G"))</f>
        <v>R</v>
      </c>
      <c r="Y79" s="235" t="s">
        <v>395</v>
      </c>
      <c r="Z79" s="51"/>
      <c r="AA79" s="52"/>
      <c r="AB79" s="52"/>
      <c r="AC79" s="52"/>
      <c r="AE79" s="52"/>
      <c r="AF79" s="52"/>
    </row>
    <row r="80" spans="2:32" ht="38.450000000000003" customHeight="1">
      <c r="B80" s="275" t="s">
        <v>42</v>
      </c>
      <c r="C80" s="155" t="s">
        <v>384</v>
      </c>
      <c r="D80" s="206" t="s">
        <v>132</v>
      </c>
      <c r="E80" s="221" t="s">
        <v>351</v>
      </c>
      <c r="F80" s="221" t="s">
        <v>175</v>
      </c>
      <c r="G80" s="279"/>
      <c r="H80" s="93">
        <v>44649</v>
      </c>
      <c r="I80" s="72" t="s">
        <v>396</v>
      </c>
      <c r="J80" s="91">
        <f>IFERROR(VLOOKUP(C80,'QB Consolidated Contacts'!$A$1:$F$333,6),"-")</f>
        <v>0</v>
      </c>
      <c r="K80" s="276" t="s">
        <v>40</v>
      </c>
      <c r="L80" s="276"/>
      <c r="M80" s="276" t="s">
        <v>309</v>
      </c>
      <c r="N80" s="275" t="s">
        <v>39</v>
      </c>
      <c r="O80" s="277">
        <v>862363</v>
      </c>
      <c r="P80" s="272" t="s">
        <v>383</v>
      </c>
      <c r="Q80" s="272"/>
      <c r="R80" s="273"/>
      <c r="S80" s="273"/>
      <c r="T80" s="274">
        <v>144</v>
      </c>
      <c r="U80" s="92" t="s">
        <v>46</v>
      </c>
      <c r="V80" s="93" t="str">
        <f>IFERROR(EDATE(H80,U80),"")</f>
        <v/>
      </c>
      <c r="W80" s="92" t="str">
        <f t="shared" ca="1" si="4"/>
        <v/>
      </c>
      <c r="X80" s="92" t="str">
        <f ca="1">IF(SOWS[[#This Row],[Days to Contract End]]&lt;=90,"R",IF(AND(SOWS[[#This Row],[Days to Contract End]]&lt;180),"A","G"))</f>
        <v>G</v>
      </c>
      <c r="Y80" s="235" t="s">
        <v>397</v>
      </c>
      <c r="Z80" s="51"/>
      <c r="AA80" s="52"/>
      <c r="AB80" s="52"/>
      <c r="AC80" s="52"/>
      <c r="AE80" s="52"/>
      <c r="AF80" s="52"/>
    </row>
    <row r="81" spans="2:32" ht="38.450000000000003" customHeight="1">
      <c r="B81" s="275" t="s">
        <v>42</v>
      </c>
      <c r="C81" s="155" t="s">
        <v>384</v>
      </c>
      <c r="D81" s="206" t="s">
        <v>132</v>
      </c>
      <c r="E81" s="221" t="s">
        <v>158</v>
      </c>
      <c r="F81" s="221" t="s">
        <v>175</v>
      </c>
      <c r="G81" s="279"/>
      <c r="H81" s="93" t="s">
        <v>108</v>
      </c>
      <c r="I81" s="266" t="s">
        <v>398</v>
      </c>
      <c r="J81" s="91">
        <f>IFERROR(VLOOKUP(C81,'QB Consolidated Contacts'!$A$1:$F$333,6),"-")</f>
        <v>0</v>
      </c>
      <c r="K81" s="276" t="s">
        <v>39</v>
      </c>
      <c r="L81" s="276"/>
      <c r="M81" s="276" t="s">
        <v>108</v>
      </c>
      <c r="N81" s="275" t="s">
        <v>39</v>
      </c>
      <c r="O81" s="276"/>
      <c r="P81" s="272"/>
      <c r="Q81" s="272"/>
      <c r="R81" s="273"/>
      <c r="S81" s="273"/>
      <c r="T81" s="274" t="s">
        <v>399</v>
      </c>
      <c r="U81" s="92">
        <v>12</v>
      </c>
      <c r="V81" s="93">
        <v>45473</v>
      </c>
      <c r="W81" s="92">
        <f t="shared" ca="1" si="4"/>
        <v>-620</v>
      </c>
      <c r="X81" s="92" t="str">
        <f ca="1">IF(SOWS[[#This Row],[Days to Contract End]]&lt;=90,"R",IF(AND(SOWS[[#This Row],[Days to Contract End]]&lt;180),"A","G"))</f>
        <v>R</v>
      </c>
      <c r="Y81" s="235"/>
      <c r="Z81" s="51"/>
      <c r="AA81" s="52"/>
      <c r="AB81" s="52"/>
      <c r="AC81" s="52"/>
      <c r="AE81" s="52"/>
      <c r="AF81" s="52"/>
    </row>
    <row r="82" spans="2:32" ht="38.450000000000003" customHeight="1">
      <c r="B82" s="275" t="s">
        <v>42</v>
      </c>
      <c r="C82" s="155" t="s">
        <v>384</v>
      </c>
      <c r="D82" s="206" t="s">
        <v>132</v>
      </c>
      <c r="E82" s="221" t="s">
        <v>351</v>
      </c>
      <c r="F82" s="221" t="s">
        <v>400</v>
      </c>
      <c r="G82" s="279"/>
      <c r="H82" s="93">
        <v>45076</v>
      </c>
      <c r="I82" s="281" t="s">
        <v>401</v>
      </c>
      <c r="J82" s="91">
        <f>IFERROR(VLOOKUP(C82,'QB Consolidated Contacts'!$A$1:$F$333,6),"-")</f>
        <v>0</v>
      </c>
      <c r="K82" s="276" t="s">
        <v>39</v>
      </c>
      <c r="L82" s="276"/>
      <c r="M82" s="276" t="s">
        <v>315</v>
      </c>
      <c r="N82" s="275" t="s">
        <v>39</v>
      </c>
      <c r="O82" s="276"/>
      <c r="P82" s="272" t="s">
        <v>383</v>
      </c>
      <c r="Q82" s="272"/>
      <c r="R82" s="273"/>
      <c r="S82" s="273"/>
      <c r="T82" s="274"/>
      <c r="U82" s="92">
        <v>12</v>
      </c>
      <c r="V82" s="93">
        <f>IFERROR(EDATE(H82,U82),"")</f>
        <v>45442</v>
      </c>
      <c r="W82" s="92">
        <f t="shared" ca="1" si="4"/>
        <v>-651</v>
      </c>
      <c r="X82" s="92" t="str">
        <f ca="1">IF(SOWS[[#This Row],[Days to Contract End]]&lt;=90,"R",IF(AND(SOWS[[#This Row],[Days to Contract End]]&lt;180),"A","G"))</f>
        <v>R</v>
      </c>
      <c r="Y82" s="235"/>
      <c r="Z82" s="51"/>
      <c r="AA82" s="52"/>
      <c r="AB82" s="52"/>
      <c r="AC82" s="52"/>
      <c r="AE82" s="52"/>
      <c r="AF82" s="52"/>
    </row>
    <row r="83" spans="2:32" ht="38.450000000000003" customHeight="1">
      <c r="B83" s="275" t="s">
        <v>42</v>
      </c>
      <c r="C83" s="155" t="s">
        <v>384</v>
      </c>
      <c r="D83" s="206" t="s">
        <v>174</v>
      </c>
      <c r="E83" s="282" t="s">
        <v>351</v>
      </c>
      <c r="F83" s="221" t="s">
        <v>175</v>
      </c>
      <c r="G83" s="279"/>
      <c r="H83" s="93">
        <v>45200</v>
      </c>
      <c r="I83" s="266" t="s">
        <v>402</v>
      </c>
      <c r="J83" s="91">
        <f>IFERROR(VLOOKUP(C83,'QB Consolidated Contacts'!$A$1:$F$333,6),"-")</f>
        <v>0</v>
      </c>
      <c r="K83" s="276" t="s">
        <v>40</v>
      </c>
      <c r="L83" s="276" t="s">
        <v>39</v>
      </c>
      <c r="M83" s="276" t="s">
        <v>315</v>
      </c>
      <c r="N83" s="275"/>
      <c r="O83" s="276">
        <v>933851</v>
      </c>
      <c r="P83" s="272"/>
      <c r="Q83" s="272"/>
      <c r="R83" s="273"/>
      <c r="S83" s="273"/>
      <c r="T83" s="274"/>
      <c r="U83" s="92">
        <v>12</v>
      </c>
      <c r="V83" s="93">
        <v>45565</v>
      </c>
      <c r="W83" s="92">
        <f t="shared" ca="1" si="4"/>
        <v>-528</v>
      </c>
      <c r="X83" s="92" t="str">
        <f ca="1">IF(SOWS[[#This Row],[Days to Contract End]]&lt;=90,"R",IF(AND(SOWS[[#This Row],[Days to Contract End]]&lt;180),"A","G"))</f>
        <v>R</v>
      </c>
      <c r="Y83" s="235"/>
      <c r="Z83" s="51"/>
      <c r="AA83" s="52"/>
      <c r="AB83" s="52"/>
      <c r="AC83" s="52"/>
      <c r="AE83" s="52"/>
      <c r="AF83" s="52"/>
    </row>
    <row r="84" spans="2:32" ht="38.450000000000003" customHeight="1">
      <c r="B84" s="275" t="s">
        <v>42</v>
      </c>
      <c r="C84" s="155" t="s">
        <v>384</v>
      </c>
      <c r="D84" s="206" t="s">
        <v>132</v>
      </c>
      <c r="E84" s="221" t="s">
        <v>351</v>
      </c>
      <c r="F84" s="221" t="s">
        <v>288</v>
      </c>
      <c r="G84" s="279"/>
      <c r="H84" s="93">
        <v>43831</v>
      </c>
      <c r="I84" s="266" t="s">
        <v>392</v>
      </c>
      <c r="J84" s="91">
        <f>IFERROR(VLOOKUP(C84,'QB Consolidated Contacts'!$A$1:$F$333,6),"-")</f>
        <v>0</v>
      </c>
      <c r="K84" s="276" t="s">
        <v>40</v>
      </c>
      <c r="L84" s="276"/>
      <c r="M84" s="276" t="s">
        <v>317</v>
      </c>
      <c r="N84" s="275" t="s">
        <v>39</v>
      </c>
      <c r="O84" s="276"/>
      <c r="P84" s="272" t="s">
        <v>383</v>
      </c>
      <c r="Q84" s="272"/>
      <c r="R84" s="273"/>
      <c r="S84" s="273"/>
      <c r="T84" s="274">
        <v>100</v>
      </c>
      <c r="U84" s="92">
        <v>24</v>
      </c>
      <c r="V84" s="93">
        <f>IFERROR(EDATE(H84,U84),"")</f>
        <v>44562</v>
      </c>
      <c r="W84" s="92">
        <f t="shared" ca="1" si="4"/>
        <v>-1531</v>
      </c>
      <c r="X84" s="92" t="str">
        <f ca="1">IF(SOWS[[#This Row],[Days to Contract End]]&lt;=90,"R",IF(AND(SOWS[[#This Row],[Days to Contract End]]&lt;180),"A","G"))</f>
        <v>R</v>
      </c>
      <c r="Y84" s="235" t="s">
        <v>403</v>
      </c>
      <c r="Z84" s="51"/>
      <c r="AA84" s="52"/>
      <c r="AB84" s="52"/>
      <c r="AC84" s="52"/>
      <c r="AE84" s="52"/>
      <c r="AF84" s="52"/>
    </row>
    <row r="85" spans="2:32" ht="38.450000000000003" customHeight="1">
      <c r="B85" s="275" t="s">
        <v>42</v>
      </c>
      <c r="C85" s="155" t="s">
        <v>102</v>
      </c>
      <c r="D85" s="206" t="s">
        <v>174</v>
      </c>
      <c r="E85" s="221" t="s">
        <v>351</v>
      </c>
      <c r="F85" s="221" t="s">
        <v>288</v>
      </c>
      <c r="G85" s="279"/>
      <c r="H85" s="93">
        <v>44742</v>
      </c>
      <c r="I85" s="268" t="s">
        <v>404</v>
      </c>
      <c r="J85" s="283" t="s">
        <v>405</v>
      </c>
      <c r="K85" s="276" t="s">
        <v>39</v>
      </c>
      <c r="L85" s="276" t="s">
        <v>40</v>
      </c>
      <c r="M85" s="276" t="s">
        <v>315</v>
      </c>
      <c r="N85" s="275" t="s">
        <v>39</v>
      </c>
      <c r="O85" s="277">
        <v>50162797</v>
      </c>
      <c r="P85" s="272" t="s">
        <v>290</v>
      </c>
      <c r="Q85" s="272"/>
      <c r="R85" s="273"/>
      <c r="S85" s="273"/>
      <c r="T85" s="274">
        <v>2080</v>
      </c>
      <c r="U85" s="92"/>
      <c r="V85" s="93">
        <f>IFERROR(EDATE(H85,U85),"")</f>
        <v>44742</v>
      </c>
      <c r="W85" s="92">
        <f t="shared" ca="1" si="4"/>
        <v>-1351</v>
      </c>
      <c r="X85" s="92" t="str">
        <f ca="1">IF(SOWS[[#This Row],[Days to Contract End]]&lt;=90,"R",IF(AND(SOWS[[#This Row],[Days to Contract End]]&lt;180),"A","G"))</f>
        <v>R</v>
      </c>
      <c r="Y85" s="235" t="s">
        <v>406</v>
      </c>
      <c r="Z85" s="51"/>
      <c r="AA85" s="52"/>
      <c r="AB85" s="52"/>
      <c r="AC85" s="52"/>
      <c r="AE85" s="52"/>
      <c r="AF85" s="52"/>
    </row>
    <row r="86" spans="2:32" ht="38.450000000000003" customHeight="1">
      <c r="B86" s="275" t="s">
        <v>42</v>
      </c>
      <c r="C86" s="155" t="s">
        <v>102</v>
      </c>
      <c r="D86" s="206" t="s">
        <v>174</v>
      </c>
      <c r="E86" s="221" t="s">
        <v>351</v>
      </c>
      <c r="F86" s="221" t="s">
        <v>288</v>
      </c>
      <c r="G86" s="279"/>
      <c r="H86" s="93">
        <v>44497</v>
      </c>
      <c r="I86" s="268" t="s">
        <v>407</v>
      </c>
      <c r="J86" s="283" t="s">
        <v>405</v>
      </c>
      <c r="K86" s="276" t="s">
        <v>39</v>
      </c>
      <c r="L86" s="276" t="s">
        <v>40</v>
      </c>
      <c r="M86" s="276" t="s">
        <v>315</v>
      </c>
      <c r="N86" s="275" t="s">
        <v>39</v>
      </c>
      <c r="O86" s="277">
        <v>50162702</v>
      </c>
      <c r="P86" s="272" t="s">
        <v>290</v>
      </c>
      <c r="Q86" s="272"/>
      <c r="R86" s="273"/>
      <c r="S86" s="273"/>
      <c r="T86" s="274">
        <v>1040</v>
      </c>
      <c r="U86" s="92"/>
      <c r="V86" s="93">
        <f>IFERROR(EDATE(H86,U86),"")</f>
        <v>44497</v>
      </c>
      <c r="W86" s="92">
        <f t="shared" ca="1" si="4"/>
        <v>-1596</v>
      </c>
      <c r="X86" s="92" t="str">
        <f ca="1">IF(SOWS[[#This Row],[Days to Contract End]]&lt;=90,"R",IF(AND(SOWS[[#This Row],[Days to Contract End]]&lt;180),"A","G"))</f>
        <v>R</v>
      </c>
      <c r="Y86" s="235" t="s">
        <v>408</v>
      </c>
      <c r="Z86" s="51"/>
      <c r="AA86" s="52"/>
      <c r="AB86" s="52"/>
      <c r="AC86" s="52"/>
      <c r="AE86" s="52"/>
      <c r="AF86" s="52"/>
    </row>
    <row r="87" spans="2:32" ht="38.450000000000003" customHeight="1">
      <c r="B87" s="275" t="s">
        <v>42</v>
      </c>
      <c r="C87" s="155" t="s">
        <v>105</v>
      </c>
      <c r="D87" s="206" t="s">
        <v>174</v>
      </c>
      <c r="E87" s="221" t="s">
        <v>158</v>
      </c>
      <c r="F87" s="221" t="s">
        <v>175</v>
      </c>
      <c r="G87" s="279"/>
      <c r="H87" s="93">
        <v>45523</v>
      </c>
      <c r="I87" s="243" t="s">
        <v>409</v>
      </c>
      <c r="J87" s="278">
        <f>IFERROR(VLOOKUP(C87,'QB Consolidated Contacts'!$A$1:$F$333,6),"-")</f>
        <v>0</v>
      </c>
      <c r="K87" s="276" t="s">
        <v>39</v>
      </c>
      <c r="L87" s="276" t="s">
        <v>39</v>
      </c>
      <c r="M87" s="276" t="s">
        <v>315</v>
      </c>
      <c r="N87" s="275"/>
      <c r="O87" s="276"/>
      <c r="P87" s="272"/>
      <c r="Q87" s="272"/>
      <c r="R87" s="273"/>
      <c r="S87" s="273"/>
      <c r="T87" s="274"/>
      <c r="U87" s="92">
        <v>8</v>
      </c>
      <c r="V87" s="93">
        <f>IFERROR(EDATE(H87,U87),"")+11</f>
        <v>45777</v>
      </c>
      <c r="W87" s="92">
        <f t="shared" ca="1" si="4"/>
        <v>-316</v>
      </c>
      <c r="X87" s="92" t="str">
        <f ca="1">IF(SOWS[[#This Row],[Days to Contract End]]&lt;=90,"R",IF(AND(SOWS[[#This Row],[Days to Contract End]]&lt;180),"A","G"))</f>
        <v>R</v>
      </c>
      <c r="Y87" s="235"/>
      <c r="Z87" s="51"/>
      <c r="AA87" s="52"/>
      <c r="AB87" s="52"/>
      <c r="AC87" s="52"/>
      <c r="AE87" s="52"/>
      <c r="AF87" s="52"/>
    </row>
    <row r="88" spans="2:32" ht="38.450000000000003" customHeight="1">
      <c r="B88" s="275" t="s">
        <v>42</v>
      </c>
      <c r="C88" s="155" t="s">
        <v>410</v>
      </c>
      <c r="D88" s="206" t="s">
        <v>174</v>
      </c>
      <c r="E88" s="221" t="s">
        <v>158</v>
      </c>
      <c r="F88" s="221" t="s">
        <v>175</v>
      </c>
      <c r="G88" s="279"/>
      <c r="H88" s="93">
        <v>45885</v>
      </c>
      <c r="I88" s="243" t="s">
        <v>411</v>
      </c>
      <c r="J88" s="278">
        <f>IFERROR(VLOOKUP(C88,'QB Consolidated Contacts'!$A$1:$F$333,6),"-")</f>
        <v>0</v>
      </c>
      <c r="K88" s="276" t="s">
        <v>39</v>
      </c>
      <c r="L88" s="276" t="s">
        <v>39</v>
      </c>
      <c r="M88" s="276" t="s">
        <v>315</v>
      </c>
      <c r="N88" s="275"/>
      <c r="O88" s="276"/>
      <c r="P88" s="272"/>
      <c r="Q88" s="272"/>
      <c r="R88" s="273"/>
      <c r="S88" s="273"/>
      <c r="T88" s="274"/>
      <c r="U88" s="92" t="s">
        <v>220</v>
      </c>
      <c r="V88" s="93" t="str">
        <f>IFERROR(EDATE(H88,U88),"")</f>
        <v/>
      </c>
      <c r="W88" s="92" t="str">
        <f t="shared" ca="1" si="4"/>
        <v/>
      </c>
      <c r="X88" s="92" t="str">
        <f ca="1">IF(SOWS[[#This Row],[Days to Contract End]]&lt;=90,"R",IF(AND(SOWS[[#This Row],[Days to Contract End]]&lt;180),"A","G"))</f>
        <v>G</v>
      </c>
      <c r="Y88" s="235"/>
      <c r="Z88" s="51"/>
      <c r="AA88" s="52"/>
      <c r="AB88" s="52"/>
      <c r="AC88" s="52"/>
      <c r="AE88" s="52"/>
      <c r="AF88" s="52"/>
    </row>
    <row r="89" spans="2:32" ht="38.450000000000003" customHeight="1">
      <c r="B89" s="275" t="s">
        <v>42</v>
      </c>
      <c r="C89" s="155" t="s">
        <v>412</v>
      </c>
      <c r="D89" s="206" t="s">
        <v>174</v>
      </c>
      <c r="E89" s="221" t="s">
        <v>158</v>
      </c>
      <c r="F89" s="221" t="s">
        <v>175</v>
      </c>
      <c r="G89" s="279"/>
      <c r="H89" s="93">
        <v>44816</v>
      </c>
      <c r="I89" s="267" t="s">
        <v>413</v>
      </c>
      <c r="J89" s="91">
        <f>IFERROR(VLOOKUP(C89,'QB Consolidated Contacts'!$A$1:$F$333,6),"-")</f>
        <v>0</v>
      </c>
      <c r="K89" s="276" t="s">
        <v>39</v>
      </c>
      <c r="L89" s="276"/>
      <c r="M89" s="276" t="s">
        <v>317</v>
      </c>
      <c r="N89" s="275"/>
      <c r="O89" s="276"/>
      <c r="P89" s="272" t="s">
        <v>383</v>
      </c>
      <c r="Q89" s="272"/>
      <c r="R89" s="273"/>
      <c r="S89" s="273"/>
      <c r="T89" s="274">
        <v>60</v>
      </c>
      <c r="U89" s="92">
        <v>3</v>
      </c>
      <c r="V89" s="93">
        <f>IFERROR(EOMONTH(H89,U89),"")</f>
        <v>44926</v>
      </c>
      <c r="W89" s="92">
        <f t="shared" ca="1" si="4"/>
        <v>-1167</v>
      </c>
      <c r="X89" s="92" t="str">
        <f ca="1">IF(SOWS[[#This Row],[Days to Contract End]]&lt;=90,"R",IF(AND(SOWS[[#This Row],[Days to Contract End]]&lt;180),"A","G"))</f>
        <v>R</v>
      </c>
      <c r="Y89" s="235" t="s">
        <v>414</v>
      </c>
      <c r="Z89" s="51"/>
      <c r="AA89" s="52"/>
      <c r="AB89" s="52"/>
      <c r="AC89" s="52"/>
      <c r="AE89" s="52"/>
      <c r="AF89" s="52"/>
    </row>
    <row r="90" spans="2:32" ht="38.450000000000003" customHeight="1">
      <c r="B90" s="275" t="s">
        <v>42</v>
      </c>
      <c r="C90" s="155" t="s">
        <v>412</v>
      </c>
      <c r="D90" s="206" t="s">
        <v>174</v>
      </c>
      <c r="E90" s="221" t="s">
        <v>158</v>
      </c>
      <c r="F90" s="221" t="s">
        <v>175</v>
      </c>
      <c r="G90" s="279"/>
      <c r="H90" s="93">
        <v>44578</v>
      </c>
      <c r="I90" s="267" t="s">
        <v>415</v>
      </c>
      <c r="J90" s="91">
        <f>IFERROR(VLOOKUP(C90,'QB Consolidated Contacts'!$A$1:$F$333,6),"-")</f>
        <v>0</v>
      </c>
      <c r="K90" s="276" t="s">
        <v>39</v>
      </c>
      <c r="L90" s="276"/>
      <c r="M90" s="276" t="s">
        <v>317</v>
      </c>
      <c r="N90" s="275"/>
      <c r="O90" s="276"/>
      <c r="P90" s="272" t="s">
        <v>416</v>
      </c>
      <c r="Q90" s="272"/>
      <c r="R90" s="273"/>
      <c r="S90" s="273"/>
      <c r="T90" s="274">
        <v>640</v>
      </c>
      <c r="U90" s="92">
        <v>11</v>
      </c>
      <c r="V90" s="93">
        <f>IFERROR(EOMONTH(H90,U90),"")</f>
        <v>44926</v>
      </c>
      <c r="W90" s="92">
        <f t="shared" ca="1" si="4"/>
        <v>-1167</v>
      </c>
      <c r="X90" s="92" t="str">
        <f ca="1">IF(SOWS[[#This Row],[Days to Contract End]]&lt;=90,"R",IF(AND(SOWS[[#This Row],[Days to Contract End]]&lt;180),"A","G"))</f>
        <v>R</v>
      </c>
      <c r="Y90" s="235" t="s">
        <v>417</v>
      </c>
      <c r="Z90" s="51"/>
      <c r="AA90" s="52"/>
      <c r="AB90" s="52"/>
      <c r="AC90" s="52"/>
      <c r="AE90" s="52"/>
      <c r="AF90" s="52"/>
    </row>
    <row r="91" spans="2:32" ht="38.450000000000003" customHeight="1">
      <c r="B91" s="275" t="s">
        <v>51</v>
      </c>
      <c r="C91" s="155" t="s">
        <v>109</v>
      </c>
      <c r="D91" s="206" t="s">
        <v>132</v>
      </c>
      <c r="E91" s="221" t="s">
        <v>158</v>
      </c>
      <c r="F91" s="221" t="s">
        <v>288</v>
      </c>
      <c r="G91" s="279"/>
      <c r="H91" s="93">
        <v>44775</v>
      </c>
      <c r="I91" s="267" t="s">
        <v>418</v>
      </c>
      <c r="J91" s="91">
        <f>IFERROR(VLOOKUP(C91,'QB Consolidated Contacts'!$A$1:$F$333,6),"-")</f>
        <v>0</v>
      </c>
      <c r="K91" s="276" t="s">
        <v>39</v>
      </c>
      <c r="L91" s="276"/>
      <c r="M91" s="276" t="s">
        <v>315</v>
      </c>
      <c r="N91" s="275"/>
      <c r="O91" s="276"/>
      <c r="P91" s="272" t="s">
        <v>290</v>
      </c>
      <c r="Q91" s="272"/>
      <c r="R91" s="273"/>
      <c r="S91" s="273">
        <v>479200</v>
      </c>
      <c r="T91" s="274" t="s">
        <v>419</v>
      </c>
      <c r="U91" s="92" t="s">
        <v>46</v>
      </c>
      <c r="V91" s="93" t="str">
        <f t="shared" ref="V91:V96" si="5">IFERROR(EDATE(H91,U91),"")</f>
        <v/>
      </c>
      <c r="W91" s="92" t="str">
        <f t="shared" ca="1" si="4"/>
        <v/>
      </c>
      <c r="X91" s="92" t="str">
        <f ca="1">IF(SOWS[[#This Row],[Days to Contract End]]&lt;=90,"R",IF(AND(SOWS[[#This Row],[Days to Contract End]]&lt;180),"A","G"))</f>
        <v>G</v>
      </c>
      <c r="Y91" s="235"/>
      <c r="Z91" s="51"/>
      <c r="AA91" s="52"/>
      <c r="AB91" s="52"/>
      <c r="AC91" s="52"/>
      <c r="AE91" s="52"/>
      <c r="AF91" s="52"/>
    </row>
    <row r="92" spans="2:32" ht="38.450000000000003" customHeight="1">
      <c r="B92" s="275" t="s">
        <v>51</v>
      </c>
      <c r="C92" s="155" t="s">
        <v>111</v>
      </c>
      <c r="D92" s="206" t="s">
        <v>132</v>
      </c>
      <c r="E92" s="221" t="s">
        <v>158</v>
      </c>
      <c r="F92" s="221" t="s">
        <v>288</v>
      </c>
      <c r="G92" s="279"/>
      <c r="H92" s="93">
        <v>44294</v>
      </c>
      <c r="I92" s="267" t="s">
        <v>420</v>
      </c>
      <c r="J92" s="91">
        <f>IFERROR(VLOOKUP(C92,'QB Consolidated Contacts'!$A$1:$F$333,6),"-")</f>
        <v>0</v>
      </c>
      <c r="K92" s="276" t="s">
        <v>39</v>
      </c>
      <c r="L92" s="276"/>
      <c r="M92" s="276" t="s">
        <v>309</v>
      </c>
      <c r="N92" s="275"/>
      <c r="O92" s="276"/>
      <c r="P92" s="272" t="s">
        <v>290</v>
      </c>
      <c r="Q92" s="272"/>
      <c r="R92" s="273"/>
      <c r="S92" s="273"/>
      <c r="T92" s="274"/>
      <c r="U92" s="92" t="s">
        <v>46</v>
      </c>
      <c r="V92" s="93" t="str">
        <f t="shared" si="5"/>
        <v/>
      </c>
      <c r="W92" s="92" t="str">
        <f t="shared" ca="1" si="4"/>
        <v/>
      </c>
      <c r="X92" s="92" t="str">
        <f ca="1">IF(SOWS[[#This Row],[Days to Contract End]]&lt;=90,"R",IF(AND(SOWS[[#This Row],[Days to Contract End]]&lt;180),"A","G"))</f>
        <v>G</v>
      </c>
      <c r="Y92" s="235" t="s">
        <v>421</v>
      </c>
      <c r="Z92" s="51"/>
      <c r="AA92" s="52"/>
      <c r="AB92" s="52"/>
      <c r="AC92" s="52"/>
      <c r="AE92" s="52"/>
      <c r="AF92" s="52"/>
    </row>
    <row r="93" spans="2:32" ht="38.450000000000003" customHeight="1">
      <c r="B93" s="275" t="s">
        <v>42</v>
      </c>
      <c r="C93" s="155" t="s">
        <v>111</v>
      </c>
      <c r="D93" s="206" t="s">
        <v>132</v>
      </c>
      <c r="E93" s="221" t="s">
        <v>158</v>
      </c>
      <c r="F93" s="221" t="s">
        <v>288</v>
      </c>
      <c r="G93" s="279"/>
      <c r="H93" s="93"/>
      <c r="I93" s="284" t="s">
        <v>288</v>
      </c>
      <c r="J93" s="91">
        <f>IFERROR(VLOOKUP(C93,'QB Consolidated Contacts'!$A$1:$F$333,6),"-")</f>
        <v>0</v>
      </c>
      <c r="K93" s="276" t="s">
        <v>40</v>
      </c>
      <c r="L93" s="276"/>
      <c r="M93" s="276" t="s">
        <v>315</v>
      </c>
      <c r="N93" s="275"/>
      <c r="O93" s="276"/>
      <c r="P93" s="272" t="s">
        <v>290</v>
      </c>
      <c r="Q93" s="272"/>
      <c r="R93" s="273"/>
      <c r="S93" s="273"/>
      <c r="T93" s="274"/>
      <c r="U93" s="92"/>
      <c r="V93" s="93">
        <f t="shared" si="5"/>
        <v>0</v>
      </c>
      <c r="W93" s="92">
        <f t="shared" ca="1" si="4"/>
        <v>-46093</v>
      </c>
      <c r="X93" s="92" t="str">
        <f ca="1">IF(SOWS[[#This Row],[Days to Contract End]]&lt;=90,"R",IF(AND(SOWS[[#This Row],[Days to Contract End]]&lt;180),"A","G"))</f>
        <v>R</v>
      </c>
      <c r="Y93" s="235" t="s">
        <v>422</v>
      </c>
      <c r="Z93" s="51"/>
      <c r="AA93" s="52"/>
      <c r="AB93" s="52"/>
      <c r="AC93" s="52"/>
      <c r="AE93" s="52"/>
      <c r="AF93" s="52"/>
    </row>
    <row r="94" spans="2:32" ht="38.450000000000003" customHeight="1">
      <c r="B94" s="275" t="s">
        <v>42</v>
      </c>
      <c r="C94" s="155" t="s">
        <v>423</v>
      </c>
      <c r="D94" s="206" t="s">
        <v>132</v>
      </c>
      <c r="E94" s="221" t="s">
        <v>320</v>
      </c>
      <c r="F94" s="221" t="s">
        <v>288</v>
      </c>
      <c r="G94" s="279"/>
      <c r="H94" s="93">
        <v>45490</v>
      </c>
      <c r="I94" s="266" t="s">
        <v>424</v>
      </c>
      <c r="J94" s="91" t="s">
        <v>425</v>
      </c>
      <c r="K94" s="276" t="s">
        <v>39</v>
      </c>
      <c r="L94" s="276" t="s">
        <v>39</v>
      </c>
      <c r="M94" s="276" t="s">
        <v>315</v>
      </c>
      <c r="N94" s="275"/>
      <c r="O94" s="276"/>
      <c r="P94" s="272"/>
      <c r="Q94" s="272"/>
      <c r="R94" s="273"/>
      <c r="S94" s="273"/>
      <c r="T94" s="274"/>
      <c r="U94" s="92">
        <v>11</v>
      </c>
      <c r="V94" s="93">
        <f t="shared" si="5"/>
        <v>45825</v>
      </c>
      <c r="W94" s="92">
        <f t="shared" ca="1" si="4"/>
        <v>-268</v>
      </c>
      <c r="X94" s="92" t="str">
        <f ca="1">IF(SOWS[[#This Row],[Days to Contract End]]&lt;=90,"R",IF(AND(SOWS[[#This Row],[Days to Contract End]]&lt;180),"A","G"))</f>
        <v>R</v>
      </c>
      <c r="Y94" s="235"/>
      <c r="Z94" s="51"/>
      <c r="AA94" s="52"/>
      <c r="AB94" s="52"/>
      <c r="AC94" s="52"/>
      <c r="AE94" s="52"/>
      <c r="AF94" s="52"/>
    </row>
    <row r="95" spans="2:32" ht="38.450000000000003" customHeight="1">
      <c r="B95" s="275" t="s">
        <v>42</v>
      </c>
      <c r="C95" s="155" t="s">
        <v>423</v>
      </c>
      <c r="D95" s="206" t="s">
        <v>132</v>
      </c>
      <c r="E95" s="221" t="s">
        <v>320</v>
      </c>
      <c r="F95" s="221" t="s">
        <v>288</v>
      </c>
      <c r="G95" s="279"/>
      <c r="H95" s="93" t="s">
        <v>426</v>
      </c>
      <c r="I95" s="280" t="s">
        <v>427</v>
      </c>
      <c r="J95" s="91" t="s">
        <v>425</v>
      </c>
      <c r="K95" s="276" t="s">
        <v>39</v>
      </c>
      <c r="L95" s="276" t="s">
        <v>39</v>
      </c>
      <c r="M95" s="276" t="s">
        <v>315</v>
      </c>
      <c r="N95" s="275"/>
      <c r="O95" s="276"/>
      <c r="P95" s="272"/>
      <c r="Q95" s="272"/>
      <c r="R95" s="273"/>
      <c r="S95" s="273">
        <v>14000</v>
      </c>
      <c r="T95" s="274" t="s">
        <v>428</v>
      </c>
      <c r="U95" s="92">
        <v>11</v>
      </c>
      <c r="V95" s="93" t="str">
        <f t="shared" si="5"/>
        <v/>
      </c>
      <c r="W95" s="92" t="str">
        <f t="shared" ca="1" si="4"/>
        <v/>
      </c>
      <c r="X95" s="92" t="str">
        <f ca="1">IF(SOWS[[#This Row],[Days to Contract End]]&lt;=90,"R",IF(AND(SOWS[[#This Row],[Days to Contract End]]&lt;180),"A","G"))</f>
        <v>G</v>
      </c>
      <c r="Y95" s="235"/>
      <c r="Z95" s="51"/>
      <c r="AA95" s="52"/>
      <c r="AB95" s="52"/>
      <c r="AC95" s="52"/>
      <c r="AE95" s="52"/>
      <c r="AF95" s="52"/>
    </row>
    <row r="96" spans="2:32" ht="38.450000000000003" customHeight="1">
      <c r="B96" s="275" t="s">
        <v>42</v>
      </c>
      <c r="C96" s="155" t="s">
        <v>112</v>
      </c>
      <c r="D96" s="206" t="s">
        <v>132</v>
      </c>
      <c r="E96" s="221" t="s">
        <v>158</v>
      </c>
      <c r="F96" s="221" t="s">
        <v>288</v>
      </c>
      <c r="G96" s="279"/>
      <c r="H96" s="93">
        <v>45444</v>
      </c>
      <c r="I96" s="266" t="s">
        <v>429</v>
      </c>
      <c r="J96" s="91" t="s">
        <v>425</v>
      </c>
      <c r="K96" s="276" t="s">
        <v>39</v>
      </c>
      <c r="L96" s="276" t="s">
        <v>39</v>
      </c>
      <c r="M96" s="276" t="s">
        <v>315</v>
      </c>
      <c r="N96" s="275"/>
      <c r="O96" s="276"/>
      <c r="P96" s="272"/>
      <c r="Q96" s="272"/>
      <c r="R96" s="273">
        <v>3500</v>
      </c>
      <c r="S96" s="273"/>
      <c r="T96" s="274" t="s">
        <v>430</v>
      </c>
      <c r="U96" s="92" t="s">
        <v>46</v>
      </c>
      <c r="V96" s="93" t="str">
        <f t="shared" si="5"/>
        <v/>
      </c>
      <c r="W96" s="92" t="str">
        <f t="shared" ca="1" si="4"/>
        <v/>
      </c>
      <c r="X96" s="92" t="str">
        <f ca="1">IF(SOWS[[#This Row],[Days to Contract End]]&lt;=90,"R",IF(AND(SOWS[[#This Row],[Days to Contract End]]&lt;180),"A","G"))</f>
        <v>G</v>
      </c>
      <c r="Y96" s="235" t="s">
        <v>431</v>
      </c>
      <c r="Z96" s="51"/>
      <c r="AA96" s="52"/>
      <c r="AB96" s="52"/>
      <c r="AC96" s="52"/>
      <c r="AE96" s="52"/>
      <c r="AF96" s="52"/>
    </row>
    <row r="97" spans="2:32" ht="38.450000000000003" customHeight="1">
      <c r="B97" s="275" t="s">
        <v>42</v>
      </c>
      <c r="C97" s="155" t="s">
        <v>432</v>
      </c>
      <c r="D97" s="206" t="s">
        <v>132</v>
      </c>
      <c r="E97" s="221" t="s">
        <v>158</v>
      </c>
      <c r="F97" s="221" t="s">
        <v>175</v>
      </c>
      <c r="G97" s="279">
        <v>45757</v>
      </c>
      <c r="H97" s="93">
        <v>45748</v>
      </c>
      <c r="I97" s="266" t="s">
        <v>433</v>
      </c>
      <c r="J97" s="278" t="str">
        <f>IFERROR(VLOOKUP(Agreements!B195,'QB Consolidated Contacts'!$A$1:$F$333,6),"-")</f>
        <v>-</v>
      </c>
      <c r="K97" s="276" t="s">
        <v>39</v>
      </c>
      <c r="L97" s="276" t="s">
        <v>39</v>
      </c>
      <c r="M97" s="276"/>
      <c r="N97" s="275"/>
      <c r="O97" s="276"/>
      <c r="P97" s="272"/>
      <c r="Q97" s="272"/>
      <c r="R97" s="273"/>
      <c r="S97" s="273"/>
      <c r="T97" s="274"/>
      <c r="U97" s="92" t="s">
        <v>220</v>
      </c>
      <c r="V97" s="93">
        <f>IFERROR(EDATE(Agreements!U195,Agreements!V195),"")</f>
        <v>0</v>
      </c>
      <c r="W97" s="92">
        <f ca="1">IFERROR(Agreements!W195-TODAY(),"")</f>
        <v>-46093</v>
      </c>
      <c r="X97" s="92" t="str">
        <f ca="1">IF(SOWS[[#This Row],[Days to Contract End]]&lt;=90,"R",IF(AND(SOWS[[#This Row],[Days to Contract End]]&lt;180),"A","G"))</f>
        <v>R</v>
      </c>
      <c r="Y97" s="235"/>
      <c r="AA97" s="72"/>
      <c r="AB97" s="51"/>
      <c r="AC97" s="52"/>
      <c r="AE97" s="52"/>
      <c r="AF97" s="52"/>
    </row>
    <row r="98" spans="2:32" ht="38.450000000000003" customHeight="1">
      <c r="B98" s="275" t="s">
        <v>51</v>
      </c>
      <c r="C98" s="155" t="s">
        <v>432</v>
      </c>
      <c r="D98" s="206" t="s">
        <v>132</v>
      </c>
      <c r="E98" s="221" t="s">
        <v>158</v>
      </c>
      <c r="F98" s="221" t="s">
        <v>288</v>
      </c>
      <c r="G98" s="279"/>
      <c r="H98" s="93">
        <v>44748</v>
      </c>
      <c r="I98" s="266" t="s">
        <v>434</v>
      </c>
      <c r="J98" s="91" t="s">
        <v>425</v>
      </c>
      <c r="K98" s="276" t="s">
        <v>39</v>
      </c>
      <c r="L98" s="276" t="s">
        <v>39</v>
      </c>
      <c r="M98" s="276" t="s">
        <v>315</v>
      </c>
      <c r="N98" s="275"/>
      <c r="O98" s="276"/>
      <c r="P98" s="272"/>
      <c r="Q98" s="272"/>
      <c r="R98" s="273"/>
      <c r="S98" s="273"/>
      <c r="T98" s="274"/>
      <c r="U98" s="92" t="s">
        <v>220</v>
      </c>
      <c r="V98" s="93" t="str">
        <f t="shared" ref="V98:V108" si="6">IFERROR(EDATE(H98,U98),"")</f>
        <v/>
      </c>
      <c r="W98" s="92" t="str">
        <f t="shared" ref="W98:W108" ca="1" si="7">IFERROR(V98-TODAY(),"")</f>
        <v/>
      </c>
      <c r="X98" s="92" t="str">
        <f ca="1">IF(SOWS[[#This Row],[Days to Contract End]]&lt;=90,"R",IF(AND(SOWS[[#This Row],[Days to Contract End]]&lt;180),"A","G"))</f>
        <v>G</v>
      </c>
      <c r="Y98" s="235"/>
      <c r="Z98" s="51"/>
      <c r="AA98" s="52"/>
      <c r="AB98" s="52"/>
      <c r="AC98" s="52"/>
      <c r="AE98" s="52"/>
      <c r="AF98" s="52"/>
    </row>
    <row r="99" spans="2:32" ht="38.450000000000003" customHeight="1">
      <c r="B99" s="275" t="s">
        <v>51</v>
      </c>
      <c r="C99" s="155" t="s">
        <v>432</v>
      </c>
      <c r="D99" s="206" t="s">
        <v>132</v>
      </c>
      <c r="E99" s="221" t="s">
        <v>158</v>
      </c>
      <c r="F99" s="221" t="s">
        <v>435</v>
      </c>
      <c r="G99" s="279"/>
      <c r="H99" s="93">
        <v>45324</v>
      </c>
      <c r="I99" s="266" t="s">
        <v>436</v>
      </c>
      <c r="J99" s="91" t="s">
        <v>425</v>
      </c>
      <c r="K99" s="276" t="s">
        <v>39</v>
      </c>
      <c r="L99" s="276" t="s">
        <v>39</v>
      </c>
      <c r="M99" s="276" t="s">
        <v>315</v>
      </c>
      <c r="N99" s="275"/>
      <c r="O99" s="276"/>
      <c r="P99" s="272" t="s">
        <v>290</v>
      </c>
      <c r="Q99" s="272"/>
      <c r="R99" s="273"/>
      <c r="S99" s="273"/>
      <c r="T99" s="274" t="s">
        <v>437</v>
      </c>
      <c r="U99" s="92">
        <v>12</v>
      </c>
      <c r="V99" s="93">
        <f t="shared" si="6"/>
        <v>45690</v>
      </c>
      <c r="W99" s="92">
        <f t="shared" ca="1" si="7"/>
        <v>-403</v>
      </c>
      <c r="X99" s="92" t="str">
        <f ca="1">IF(SOWS[[#This Row],[Days to Contract End]]&lt;=90,"R",IF(AND(SOWS[[#This Row],[Days to Contract End]]&lt;180),"A","G"))</f>
        <v>R</v>
      </c>
      <c r="Y99" s="235" t="s">
        <v>431</v>
      </c>
      <c r="Z99" s="51"/>
      <c r="AA99" s="52"/>
      <c r="AB99" s="52"/>
      <c r="AC99" s="52"/>
      <c r="AE99" s="52"/>
      <c r="AF99" s="52"/>
    </row>
    <row r="100" spans="2:32" ht="38.450000000000003" customHeight="1">
      <c r="B100" s="275" t="s">
        <v>42</v>
      </c>
      <c r="C100" s="155" t="s">
        <v>119</v>
      </c>
      <c r="D100" s="206" t="s">
        <v>132</v>
      </c>
      <c r="E100" s="221" t="s">
        <v>158</v>
      </c>
      <c r="F100" s="221" t="s">
        <v>175</v>
      </c>
      <c r="G100" s="279">
        <v>45016</v>
      </c>
      <c r="H100" s="93">
        <v>45031</v>
      </c>
      <c r="I100" s="266" t="s">
        <v>438</v>
      </c>
      <c r="J100" s="91">
        <f>IFERROR(VLOOKUP(C100,'QB Consolidated Contacts'!$A$1:$F$333,6),"-")</f>
        <v>0</v>
      </c>
      <c r="K100" s="276" t="s">
        <v>39</v>
      </c>
      <c r="L100" s="276" t="s">
        <v>39</v>
      </c>
      <c r="M100" s="276" t="s">
        <v>315</v>
      </c>
      <c r="N100" s="275"/>
      <c r="O100" s="276"/>
      <c r="P100" s="272" t="s">
        <v>290</v>
      </c>
      <c r="Q100" s="272" t="s">
        <v>439</v>
      </c>
      <c r="R100" s="273"/>
      <c r="S100" s="273">
        <v>94775</v>
      </c>
      <c r="T100" s="274">
        <v>477</v>
      </c>
      <c r="U100" s="92" t="s">
        <v>282</v>
      </c>
      <c r="V100" s="93" t="str">
        <f t="shared" si="6"/>
        <v/>
      </c>
      <c r="W100" s="92" t="str">
        <f t="shared" ca="1" si="7"/>
        <v/>
      </c>
      <c r="X100" s="92" t="str">
        <f ca="1">IF(SOWS[[#This Row],[Days to Contract End]]&lt;=90,"R",IF(AND(SOWS[[#This Row],[Days to Contract End]]&lt;180),"A","G"))</f>
        <v>G</v>
      </c>
      <c r="Y100" s="235"/>
      <c r="Z100" s="51"/>
      <c r="AA100" s="52"/>
      <c r="AB100" s="52"/>
      <c r="AC100" s="52"/>
      <c r="AE100" s="52"/>
      <c r="AF100" s="52"/>
    </row>
    <row r="101" spans="2:32" ht="38.450000000000003" customHeight="1">
      <c r="B101" s="275" t="s">
        <v>42</v>
      </c>
      <c r="C101" s="155" t="s">
        <v>120</v>
      </c>
      <c r="D101" s="206" t="s">
        <v>132</v>
      </c>
      <c r="E101" s="221" t="s">
        <v>158</v>
      </c>
      <c r="F101" s="221" t="s">
        <v>175</v>
      </c>
      <c r="G101" s="279"/>
      <c r="H101" s="93">
        <v>44662</v>
      </c>
      <c r="I101" s="267" t="s">
        <v>440</v>
      </c>
      <c r="J101" s="91">
        <f>IFERROR(VLOOKUP(C101,'QB Consolidated Contacts'!$A$1:$F$333,6),"-")</f>
        <v>0</v>
      </c>
      <c r="K101" s="276" t="s">
        <v>40</v>
      </c>
      <c r="L101" s="276"/>
      <c r="M101" s="276" t="s">
        <v>315</v>
      </c>
      <c r="N101" s="275" t="s">
        <v>40</v>
      </c>
      <c r="O101" s="276" t="s">
        <v>48</v>
      </c>
      <c r="P101" s="272" t="s">
        <v>441</v>
      </c>
      <c r="Q101" s="272"/>
      <c r="R101" s="273" t="s">
        <v>48</v>
      </c>
      <c r="S101" s="273" t="s">
        <v>48</v>
      </c>
      <c r="T101" s="274" t="s">
        <v>48</v>
      </c>
      <c r="U101" s="92">
        <v>6</v>
      </c>
      <c r="V101" s="93">
        <f t="shared" si="6"/>
        <v>44845</v>
      </c>
      <c r="W101" s="92">
        <f t="shared" ca="1" si="7"/>
        <v>-1248</v>
      </c>
      <c r="X101" s="92" t="str">
        <f ca="1">IF(SOWS[[#This Row],[Days to Contract End]]&lt;=90,"R",IF(AND(SOWS[[#This Row],[Days to Contract End]]&lt;180),"A","G"))</f>
        <v>R</v>
      </c>
      <c r="Y101" s="235" t="s">
        <v>442</v>
      </c>
      <c r="Z101" s="51"/>
      <c r="AA101" s="52"/>
      <c r="AB101" s="52"/>
      <c r="AC101" s="52"/>
      <c r="AE101" s="52"/>
      <c r="AF101" s="52"/>
    </row>
    <row r="102" spans="2:32" ht="38.450000000000003" customHeight="1">
      <c r="B102" s="275" t="s">
        <v>42</v>
      </c>
      <c r="C102" s="155" t="s">
        <v>123</v>
      </c>
      <c r="D102" s="206" t="s">
        <v>132</v>
      </c>
      <c r="E102" s="221" t="s">
        <v>158</v>
      </c>
      <c r="F102" s="221" t="s">
        <v>175</v>
      </c>
      <c r="G102" s="279"/>
      <c r="H102" s="93">
        <v>44256</v>
      </c>
      <c r="I102" s="267" t="s">
        <v>443</v>
      </c>
      <c r="J102" s="91">
        <f>IFERROR(VLOOKUP(C102,'QB Consolidated Contacts'!$A$1:$F$333,6),"-")</f>
        <v>0</v>
      </c>
      <c r="K102" s="276" t="s">
        <v>40</v>
      </c>
      <c r="L102" s="276"/>
      <c r="M102" s="276" t="s">
        <v>108</v>
      </c>
      <c r="N102" s="275"/>
      <c r="O102" s="276"/>
      <c r="P102" s="272" t="s">
        <v>441</v>
      </c>
      <c r="Q102" s="272"/>
      <c r="R102" s="273"/>
      <c r="S102" s="273"/>
      <c r="T102" s="274">
        <f>20+24+24+16+88+32+108+28+104+56</f>
        <v>500</v>
      </c>
      <c r="U102" s="92" t="s">
        <v>282</v>
      </c>
      <c r="V102" s="93" t="str">
        <f t="shared" si="6"/>
        <v/>
      </c>
      <c r="W102" s="92" t="str">
        <f t="shared" ca="1" si="7"/>
        <v/>
      </c>
      <c r="X102" s="92" t="str">
        <f ca="1">IF(SOWS[[#This Row],[Days to Contract End]]&lt;=90,"R",IF(AND(SOWS[[#This Row],[Days to Contract End]]&lt;180),"A","G"))</f>
        <v>G</v>
      </c>
      <c r="Y102" s="235"/>
      <c r="AA102" s="72"/>
      <c r="AB102" s="51"/>
      <c r="AC102" s="52"/>
      <c r="AE102" s="52"/>
      <c r="AF102" s="52"/>
    </row>
    <row r="103" spans="2:32" ht="38.450000000000003" customHeight="1">
      <c r="B103" s="275" t="s">
        <v>51</v>
      </c>
      <c r="C103" s="155" t="s">
        <v>126</v>
      </c>
      <c r="D103" s="206" t="s">
        <v>132</v>
      </c>
      <c r="E103" s="221" t="s">
        <v>158</v>
      </c>
      <c r="F103" s="221" t="s">
        <v>175</v>
      </c>
      <c r="G103" s="279"/>
      <c r="H103" s="93">
        <v>45694</v>
      </c>
      <c r="I103" s="243" t="s">
        <v>444</v>
      </c>
      <c r="J103" s="278" t="str">
        <f>IFERROR(VLOOKUP(Agreements!B167,'QB Consolidated Contacts'!$A$1:$F$333,6),"-")</f>
        <v>-</v>
      </c>
      <c r="K103" s="276" t="s">
        <v>39</v>
      </c>
      <c r="L103" s="276" t="s">
        <v>39</v>
      </c>
      <c r="M103" s="276" t="s">
        <v>315</v>
      </c>
      <c r="N103" s="275"/>
      <c r="O103" s="276"/>
      <c r="P103" s="272"/>
      <c r="Q103" s="272"/>
      <c r="R103" s="273"/>
      <c r="S103" s="273"/>
      <c r="T103" s="274">
        <v>134</v>
      </c>
      <c r="U103" s="92">
        <v>12</v>
      </c>
      <c r="V103" s="93">
        <f t="shared" si="6"/>
        <v>46059</v>
      </c>
      <c r="W103" s="92">
        <f t="shared" ca="1" si="7"/>
        <v>-34</v>
      </c>
      <c r="X103" s="92" t="str">
        <f ca="1">IF(SOWS[[#This Row],[Days to Contract End]]&lt;=90,"R",IF(AND(SOWS[[#This Row],[Days to Contract End]]&lt;180),"A","G"))</f>
        <v>R</v>
      </c>
      <c r="Y103" s="235"/>
      <c r="Z103" s="51"/>
      <c r="AA103" s="52"/>
      <c r="AB103" s="52"/>
      <c r="AC103" s="52"/>
      <c r="AE103" s="52"/>
      <c r="AF103" s="52"/>
    </row>
    <row r="104" spans="2:32" ht="38.450000000000003" customHeight="1">
      <c r="B104" s="275" t="s">
        <v>51</v>
      </c>
      <c r="C104" s="155" t="s">
        <v>126</v>
      </c>
      <c r="D104" s="206" t="s">
        <v>132</v>
      </c>
      <c r="E104" s="221" t="s">
        <v>158</v>
      </c>
      <c r="F104" s="221" t="s">
        <v>356</v>
      </c>
      <c r="G104" s="279"/>
      <c r="H104" s="93">
        <v>45531</v>
      </c>
      <c r="I104" s="243" t="s">
        <v>445</v>
      </c>
      <c r="J104" s="278">
        <f>IFERROR(VLOOKUP(C104,'QB Consolidated Contacts'!$A$1:$F$333,6),"-")</f>
        <v>0</v>
      </c>
      <c r="K104" s="276" t="s">
        <v>39</v>
      </c>
      <c r="L104" s="276" t="s">
        <v>39</v>
      </c>
      <c r="M104" s="276" t="s">
        <v>315</v>
      </c>
      <c r="N104" s="20" t="s">
        <v>39</v>
      </c>
      <c r="O104" s="288">
        <v>81676</v>
      </c>
      <c r="P104" s="272" t="s">
        <v>441</v>
      </c>
      <c r="Q104" s="272" t="s">
        <v>439</v>
      </c>
      <c r="R104" s="273"/>
      <c r="S104" s="273">
        <v>21700</v>
      </c>
      <c r="T104" s="274">
        <v>124</v>
      </c>
      <c r="U104" s="92">
        <v>12</v>
      </c>
      <c r="V104" s="93">
        <f t="shared" si="6"/>
        <v>45896</v>
      </c>
      <c r="W104" s="92">
        <f t="shared" ca="1" si="7"/>
        <v>-197</v>
      </c>
      <c r="X104" s="92" t="str">
        <f ca="1">IF(SOWS[[#This Row],[Days to Contract End]]&lt;=90,"R",IF(AND(SOWS[[#This Row],[Days to Contract End]]&lt;180),"A","G"))</f>
        <v>R</v>
      </c>
      <c r="Y104" s="235"/>
      <c r="Z104" s="51"/>
      <c r="AA104" s="52"/>
      <c r="AB104" s="52"/>
      <c r="AC104" s="52"/>
      <c r="AE104" s="52"/>
      <c r="AF104" s="52"/>
    </row>
    <row r="105" spans="2:32" ht="38.450000000000003" customHeight="1">
      <c r="B105" s="275" t="s">
        <v>51</v>
      </c>
      <c r="C105" s="155" t="s">
        <v>126</v>
      </c>
      <c r="D105" s="206" t="s">
        <v>132</v>
      </c>
      <c r="E105" s="221" t="s">
        <v>158</v>
      </c>
      <c r="F105" s="221" t="s">
        <v>288</v>
      </c>
      <c r="G105" s="279"/>
      <c r="H105" s="93">
        <v>45140</v>
      </c>
      <c r="I105" s="266" t="s">
        <v>446</v>
      </c>
      <c r="J105" s="91">
        <f>IFERROR(VLOOKUP(C105,'QB Consolidated Contacts'!$A$1:$F$333,6),"-")</f>
        <v>0</v>
      </c>
      <c r="K105" s="276" t="s">
        <v>39</v>
      </c>
      <c r="L105" s="276" t="s">
        <v>39</v>
      </c>
      <c r="M105" s="276" t="s">
        <v>108</v>
      </c>
      <c r="N105" s="275" t="s">
        <v>39</v>
      </c>
      <c r="O105" s="276">
        <v>81151</v>
      </c>
      <c r="P105" s="272" t="s">
        <v>290</v>
      </c>
      <c r="Q105" s="272"/>
      <c r="R105" s="273"/>
      <c r="S105" s="273"/>
      <c r="T105" s="274">
        <v>124</v>
      </c>
      <c r="U105" s="92">
        <v>12</v>
      </c>
      <c r="V105" s="93">
        <f t="shared" si="6"/>
        <v>45506</v>
      </c>
      <c r="W105" s="92">
        <f t="shared" ca="1" si="7"/>
        <v>-587</v>
      </c>
      <c r="X105" s="92" t="str">
        <f ca="1">IF(SOWS[[#This Row],[Days to Contract End]]&lt;=90,"R",IF(AND(SOWS[[#This Row],[Days to Contract End]]&lt;180),"A","G"))</f>
        <v>R</v>
      </c>
      <c r="Y105" s="235" t="s">
        <v>447</v>
      </c>
      <c r="Z105" s="51"/>
      <c r="AA105" s="52"/>
      <c r="AB105" s="52"/>
      <c r="AC105" s="52"/>
      <c r="AE105" s="52"/>
      <c r="AF105" s="52"/>
    </row>
    <row r="106" spans="2:32" ht="38.450000000000003" customHeight="1">
      <c r="B106" s="275" t="s">
        <v>51</v>
      </c>
      <c r="C106" s="155" t="s">
        <v>126</v>
      </c>
      <c r="D106" s="206" t="s">
        <v>132</v>
      </c>
      <c r="E106" s="221" t="s">
        <v>158</v>
      </c>
      <c r="F106" s="221" t="s">
        <v>288</v>
      </c>
      <c r="G106" s="279"/>
      <c r="H106" s="93">
        <v>44810</v>
      </c>
      <c r="I106" s="280" t="s">
        <v>448</v>
      </c>
      <c r="J106" s="91">
        <f>IFERROR(VLOOKUP(C106,'QB Consolidated Contacts'!$A$1:$F$333,6),"-")</f>
        <v>0</v>
      </c>
      <c r="K106" s="276" t="s">
        <v>39</v>
      </c>
      <c r="L106" s="276"/>
      <c r="M106" s="276" t="s">
        <v>309</v>
      </c>
      <c r="N106" s="275" t="s">
        <v>39</v>
      </c>
      <c r="O106" s="276"/>
      <c r="P106" s="272" t="s">
        <v>290</v>
      </c>
      <c r="Q106" s="272" t="s">
        <v>439</v>
      </c>
      <c r="R106" s="273"/>
      <c r="S106" s="273">
        <v>21700</v>
      </c>
      <c r="T106" s="274">
        <v>100</v>
      </c>
      <c r="U106" s="92">
        <v>12</v>
      </c>
      <c r="V106" s="93">
        <f t="shared" si="6"/>
        <v>45175</v>
      </c>
      <c r="W106" s="92">
        <f t="shared" ca="1" si="7"/>
        <v>-918</v>
      </c>
      <c r="X106" s="92" t="str">
        <f ca="1">IF(SOWS[[#This Row],[Days to Contract End]]&lt;=90,"R",IF(AND(SOWS[[#This Row],[Days to Contract End]]&lt;180),"A","G"))</f>
        <v>R</v>
      </c>
      <c r="Y106" s="235"/>
      <c r="Z106" s="51"/>
      <c r="AA106" s="52"/>
      <c r="AB106" s="52"/>
      <c r="AC106" s="52"/>
      <c r="AE106" s="52"/>
      <c r="AF106" s="52"/>
    </row>
    <row r="107" spans="2:32" ht="38.450000000000003" customHeight="1">
      <c r="B107" s="275" t="s">
        <v>51</v>
      </c>
      <c r="C107" s="155" t="s">
        <v>126</v>
      </c>
      <c r="D107" s="206" t="s">
        <v>132</v>
      </c>
      <c r="E107" s="221" t="s">
        <v>351</v>
      </c>
      <c r="F107" s="221" t="s">
        <v>449</v>
      </c>
      <c r="G107" s="279"/>
      <c r="H107" s="93">
        <v>45062</v>
      </c>
      <c r="I107" s="266" t="s">
        <v>450</v>
      </c>
      <c r="J107" s="91">
        <f>IFERROR(VLOOKUP(C107,'QB Consolidated Contacts'!$A$1:$F$333,6),"-")</f>
        <v>0</v>
      </c>
      <c r="K107" s="276"/>
      <c r="L107" s="276"/>
      <c r="M107" s="276" t="s">
        <v>108</v>
      </c>
      <c r="N107" s="275"/>
      <c r="O107" s="276"/>
      <c r="P107" s="272" t="s">
        <v>290</v>
      </c>
      <c r="Q107" s="272" t="s">
        <v>439</v>
      </c>
      <c r="R107" s="273"/>
      <c r="S107" s="273">
        <v>19600</v>
      </c>
      <c r="T107" s="274"/>
      <c r="U107" s="92">
        <v>12</v>
      </c>
      <c r="V107" s="93">
        <f t="shared" si="6"/>
        <v>45428</v>
      </c>
      <c r="W107" s="92">
        <f t="shared" ca="1" si="7"/>
        <v>-665</v>
      </c>
      <c r="X107" s="92" t="str">
        <f ca="1">IF(SOWS[[#This Row],[Days to Contract End]]&lt;=90,"R",IF(AND(SOWS[[#This Row],[Days to Contract End]]&lt;180),"A","G"))</f>
        <v>R</v>
      </c>
      <c r="Y107" s="235"/>
      <c r="Z107" s="51"/>
      <c r="AA107" s="52"/>
      <c r="AB107" s="52"/>
      <c r="AC107" s="52"/>
      <c r="AE107" s="52"/>
      <c r="AF107" s="52"/>
    </row>
    <row r="108" spans="2:32" ht="38.450000000000003" customHeight="1">
      <c r="B108" s="275" t="s">
        <v>51</v>
      </c>
      <c r="C108" s="155" t="s">
        <v>126</v>
      </c>
      <c r="D108" s="206" t="s">
        <v>132</v>
      </c>
      <c r="E108" s="221" t="s">
        <v>158</v>
      </c>
      <c r="F108" s="221" t="s">
        <v>288</v>
      </c>
      <c r="G108" s="279"/>
      <c r="H108" s="93">
        <v>44053</v>
      </c>
      <c r="I108" s="266" t="s">
        <v>451</v>
      </c>
      <c r="J108" s="91">
        <f>IFERROR(VLOOKUP(C108,'QB Consolidated Contacts'!$A$1:$F$333,6),"-")</f>
        <v>0</v>
      </c>
      <c r="K108" s="276" t="s">
        <v>39</v>
      </c>
      <c r="L108" s="276"/>
      <c r="M108" s="276" t="s">
        <v>309</v>
      </c>
      <c r="N108" s="275"/>
      <c r="O108" s="276"/>
      <c r="P108" s="272"/>
      <c r="Q108" s="272"/>
      <c r="R108" s="273"/>
      <c r="S108" s="273"/>
      <c r="T108" s="274"/>
      <c r="U108" s="92">
        <v>12</v>
      </c>
      <c r="V108" s="93">
        <f t="shared" si="6"/>
        <v>44418</v>
      </c>
      <c r="W108" s="92">
        <f t="shared" ca="1" si="7"/>
        <v>-1675</v>
      </c>
      <c r="X108" s="92" t="str">
        <f ca="1">IF(SOWS[[#This Row],[Days to Contract End]]&lt;=90,"R",IF(AND(SOWS[[#This Row],[Days to Contract End]]&lt;180),"A","G"))</f>
        <v>R</v>
      </c>
      <c r="Y108" s="235"/>
      <c r="Z108" s="51"/>
      <c r="AA108" s="52"/>
      <c r="AB108" s="52"/>
      <c r="AC108" s="52"/>
      <c r="AE108" s="52"/>
      <c r="AF108" s="52"/>
    </row>
    <row r="109" spans="2:32" ht="38.450000000000003" customHeight="1">
      <c r="B109" s="275" t="s">
        <v>51</v>
      </c>
      <c r="C109" s="155" t="s">
        <v>126</v>
      </c>
      <c r="D109" s="206" t="s">
        <v>132</v>
      </c>
      <c r="E109" s="221" t="s">
        <v>158</v>
      </c>
      <c r="F109" s="221" t="s">
        <v>175</v>
      </c>
      <c r="G109" s="279">
        <v>45784</v>
      </c>
      <c r="H109" s="93">
        <v>45784</v>
      </c>
      <c r="I109" s="266" t="s">
        <v>452</v>
      </c>
      <c r="J109" s="278" t="str">
        <f>IFERROR(VLOOKUP(Agreements!B276,'QB Consolidated Contacts'!$A$1:$F$333,6),"-")</f>
        <v>-</v>
      </c>
      <c r="K109" s="276" t="s">
        <v>39</v>
      </c>
      <c r="L109" s="276" t="s">
        <v>39</v>
      </c>
      <c r="M109" s="276"/>
      <c r="N109" s="275"/>
      <c r="O109" s="276"/>
      <c r="P109" s="272"/>
      <c r="Q109" s="272"/>
      <c r="R109" s="273"/>
      <c r="S109" s="273"/>
      <c r="T109" s="274"/>
      <c r="U109" s="92" t="s">
        <v>46</v>
      </c>
      <c r="V109" s="93">
        <f>IFERROR(EDATE(Agreements!U276,Agreements!V276),"")</f>
        <v>0</v>
      </c>
      <c r="W109" s="92">
        <f ca="1">IFERROR(Agreements!W276-TODAY(),"")</f>
        <v>-46093</v>
      </c>
      <c r="X109" s="92" t="str">
        <f ca="1">IF(SOWS[[#This Row],[Days to Contract End]]&lt;=90,"R",IF(AND(SOWS[[#This Row],[Days to Contract End]]&lt;180),"A","G"))</f>
        <v>R</v>
      </c>
      <c r="Y109" s="235"/>
      <c r="Z109" s="51"/>
      <c r="AA109" s="52"/>
      <c r="AB109" s="52"/>
      <c r="AC109" s="52"/>
      <c r="AE109" s="52"/>
      <c r="AF109" s="52"/>
    </row>
    <row r="110" spans="2:32" ht="38.450000000000003" customHeight="1">
      <c r="B110" s="275" t="s">
        <v>42</v>
      </c>
      <c r="C110" s="155" t="s">
        <v>131</v>
      </c>
      <c r="D110" s="206" t="s">
        <v>132</v>
      </c>
      <c r="E110" s="221" t="s">
        <v>158</v>
      </c>
      <c r="F110" s="221" t="s">
        <v>175</v>
      </c>
      <c r="G110" s="279"/>
      <c r="H110" s="93">
        <v>45133</v>
      </c>
      <c r="I110" s="268" t="s">
        <v>453</v>
      </c>
      <c r="J110" s="91">
        <f>IFERROR(VLOOKUP(C110,'QB Consolidated Contacts'!$A$1:$F$333,6),"-")</f>
        <v>0</v>
      </c>
      <c r="K110" s="276" t="s">
        <v>39</v>
      </c>
      <c r="L110" s="276" t="s">
        <v>39</v>
      </c>
      <c r="M110" s="276" t="s">
        <v>108</v>
      </c>
      <c r="N110" s="275"/>
      <c r="O110" s="276"/>
      <c r="P110" s="272"/>
      <c r="Q110" s="272"/>
      <c r="R110" s="273"/>
      <c r="S110" s="273"/>
      <c r="T110" s="274">
        <v>356</v>
      </c>
      <c r="U110" s="92" t="s">
        <v>220</v>
      </c>
      <c r="V110" s="93" t="s">
        <v>454</v>
      </c>
      <c r="W110" s="92" t="str">
        <f t="shared" ref="W110:W116" ca="1" si="8">IFERROR(V110-TODAY(),"")</f>
        <v/>
      </c>
      <c r="X110" s="92" t="str">
        <f ca="1">IF(SOWS[[#This Row],[Days to Contract End]]&lt;=90,"R",IF(AND(SOWS[[#This Row],[Days to Contract End]]&lt;180),"A","G"))</f>
        <v>G</v>
      </c>
      <c r="Y110" s="235"/>
      <c r="Z110" s="51"/>
      <c r="AA110" s="52"/>
      <c r="AB110" s="52"/>
      <c r="AC110" s="52"/>
      <c r="AE110" s="52"/>
      <c r="AF110" s="52"/>
    </row>
    <row r="111" spans="2:32" ht="38.450000000000003" customHeight="1">
      <c r="B111" s="275" t="s">
        <v>42</v>
      </c>
      <c r="C111" s="155" t="s">
        <v>135</v>
      </c>
      <c r="D111" s="206" t="s">
        <v>174</v>
      </c>
      <c r="E111" s="221" t="s">
        <v>158</v>
      </c>
      <c r="F111" s="221" t="s">
        <v>175</v>
      </c>
      <c r="G111" s="279"/>
      <c r="H111" s="93"/>
      <c r="I111" s="243" t="s">
        <v>455</v>
      </c>
      <c r="J111" s="278">
        <f>IFERROR(VLOOKUP(C111,'QB Consolidated Contacts'!$A$1:$F$333,6),"-")</f>
        <v>0</v>
      </c>
      <c r="K111" s="276" t="s">
        <v>39</v>
      </c>
      <c r="L111" s="276" t="s">
        <v>39</v>
      </c>
      <c r="M111" s="276" t="s">
        <v>315</v>
      </c>
      <c r="N111" s="275"/>
      <c r="O111" s="276"/>
      <c r="P111" s="272"/>
      <c r="Q111" s="272"/>
      <c r="R111" s="273"/>
      <c r="S111" s="273"/>
      <c r="T111" s="274"/>
      <c r="U111" s="92"/>
      <c r="V111" s="93">
        <f t="shared" ref="V111:V116" si="9">IFERROR(EDATE(H111,U111),"")</f>
        <v>0</v>
      </c>
      <c r="W111" s="92">
        <f t="shared" ca="1" si="8"/>
        <v>-46093</v>
      </c>
      <c r="X111" s="92" t="str">
        <f ca="1">IF(SOWS[[#This Row],[Days to Contract End]]&lt;=90,"R",IF(AND(SOWS[[#This Row],[Days to Contract End]]&lt;180),"A","G"))</f>
        <v>R</v>
      </c>
      <c r="Y111" s="235"/>
      <c r="Z111" s="51"/>
      <c r="AA111" s="52"/>
      <c r="AB111" s="52"/>
      <c r="AC111" s="52"/>
      <c r="AE111" s="52"/>
      <c r="AF111" s="52"/>
    </row>
    <row r="112" spans="2:32" ht="38.450000000000003" customHeight="1">
      <c r="B112" s="275" t="s">
        <v>51</v>
      </c>
      <c r="C112" s="155" t="s">
        <v>137</v>
      </c>
      <c r="D112" s="206" t="s">
        <v>132</v>
      </c>
      <c r="E112" s="221" t="s">
        <v>158</v>
      </c>
      <c r="F112" s="221" t="s">
        <v>175</v>
      </c>
      <c r="G112" s="279"/>
      <c r="H112" s="93">
        <v>44763</v>
      </c>
      <c r="I112" s="267" t="s">
        <v>456</v>
      </c>
      <c r="J112" s="91">
        <f>IFERROR(VLOOKUP(C112,'QB Consolidated Contacts'!$A$1:$F$333,6),"-")</f>
        <v>0</v>
      </c>
      <c r="K112" s="276" t="s">
        <v>39</v>
      </c>
      <c r="L112" s="276"/>
      <c r="M112" s="276" t="s">
        <v>309</v>
      </c>
      <c r="N112" s="275"/>
      <c r="O112" s="276"/>
      <c r="P112" s="272"/>
      <c r="Q112" s="272"/>
      <c r="R112" s="273"/>
      <c r="S112" s="273"/>
      <c r="T112" s="274">
        <v>112</v>
      </c>
      <c r="U112" s="92" t="s">
        <v>46</v>
      </c>
      <c r="V112" s="93" t="str">
        <f t="shared" si="9"/>
        <v/>
      </c>
      <c r="W112" s="92" t="str">
        <f t="shared" ca="1" si="8"/>
        <v/>
      </c>
      <c r="X112" s="92" t="str">
        <f ca="1">IF(SOWS[[#This Row],[Days to Contract End]]&lt;=90,"R",IF(AND(SOWS[[#This Row],[Days to Contract End]]&lt;180),"A","G"))</f>
        <v>G</v>
      </c>
      <c r="Y112" s="235"/>
      <c r="Z112" s="51"/>
      <c r="AA112" s="52"/>
      <c r="AB112" s="52"/>
      <c r="AC112" s="52"/>
      <c r="AE112" s="52"/>
      <c r="AF112" s="52"/>
    </row>
    <row r="113" spans="2:32" ht="38.450000000000003" customHeight="1">
      <c r="B113" s="275"/>
      <c r="C113" s="155" t="s">
        <v>138</v>
      </c>
      <c r="D113" s="206"/>
      <c r="E113" s="221"/>
      <c r="F113" s="221" t="s">
        <v>108</v>
      </c>
      <c r="G113" s="279"/>
      <c r="H113" s="93"/>
      <c r="I113" s="268" t="s">
        <v>139</v>
      </c>
      <c r="J113" s="91">
        <f>IFERROR(VLOOKUP(C113,'QB Consolidated Contacts'!$A$1:$F$333,6),"-")</f>
        <v>0</v>
      </c>
      <c r="K113" s="276" t="s">
        <v>40</v>
      </c>
      <c r="L113" s="276"/>
      <c r="M113" s="276" t="s">
        <v>108</v>
      </c>
      <c r="N113" s="275"/>
      <c r="O113" s="276"/>
      <c r="P113" s="272" t="s">
        <v>290</v>
      </c>
      <c r="Q113" s="272"/>
      <c r="R113" s="273"/>
      <c r="S113" s="273"/>
      <c r="T113" s="274">
        <v>155</v>
      </c>
      <c r="U113" s="92"/>
      <c r="V113" s="93">
        <f t="shared" si="9"/>
        <v>0</v>
      </c>
      <c r="W113" s="92">
        <f t="shared" ca="1" si="8"/>
        <v>-46093</v>
      </c>
      <c r="X113" s="92" t="str">
        <f ca="1">IF(SOWS[[#This Row],[Days to Contract End]]&lt;=90,"R",IF(AND(SOWS[[#This Row],[Days to Contract End]]&lt;180),"A","G"))</f>
        <v>R</v>
      </c>
      <c r="Y113" s="235"/>
      <c r="Z113" s="51"/>
      <c r="AA113" s="52"/>
      <c r="AB113" s="52"/>
      <c r="AC113" s="52"/>
      <c r="AE113" s="52"/>
      <c r="AF113" s="52"/>
    </row>
    <row r="114" spans="2:32" ht="38.450000000000003" customHeight="1">
      <c r="B114" s="275" t="s">
        <v>42</v>
      </c>
      <c r="C114" s="155" t="s">
        <v>140</v>
      </c>
      <c r="D114" s="206" t="s">
        <v>132</v>
      </c>
      <c r="E114" s="221" t="s">
        <v>158</v>
      </c>
      <c r="F114" s="221" t="s">
        <v>288</v>
      </c>
      <c r="G114" s="279"/>
      <c r="H114" s="93">
        <v>43831</v>
      </c>
      <c r="I114" s="267" t="s">
        <v>457</v>
      </c>
      <c r="J114" s="91">
        <f>IFERROR(VLOOKUP(C114,'QB Consolidated Contacts'!$A$1:$F$333,6),"-")</f>
        <v>0</v>
      </c>
      <c r="K114" s="276" t="s">
        <v>39</v>
      </c>
      <c r="L114" s="276"/>
      <c r="M114" s="276" t="s">
        <v>309</v>
      </c>
      <c r="N114" s="275"/>
      <c r="O114" s="276"/>
      <c r="P114" s="272"/>
      <c r="Q114" s="272"/>
      <c r="R114" s="273"/>
      <c r="S114" s="273"/>
      <c r="T114" s="274"/>
      <c r="U114" s="92" t="s">
        <v>46</v>
      </c>
      <c r="V114" s="93" t="str">
        <f t="shared" si="9"/>
        <v/>
      </c>
      <c r="W114" s="92" t="str">
        <f t="shared" ca="1" si="8"/>
        <v/>
      </c>
      <c r="X114" s="92" t="str">
        <f ca="1">IF(SOWS[[#This Row],[Days to Contract End]]&lt;=90,"R",IF(AND(SOWS[[#This Row],[Days to Contract End]]&lt;180),"A","G"))</f>
        <v>G</v>
      </c>
      <c r="Y114" s="235"/>
      <c r="Z114" s="51"/>
      <c r="AA114" s="52"/>
      <c r="AB114" s="52"/>
      <c r="AC114" s="52"/>
      <c r="AE114" s="52"/>
      <c r="AF114" s="52"/>
    </row>
    <row r="115" spans="2:32" ht="38.450000000000003" customHeight="1">
      <c r="B115" s="275" t="s">
        <v>42</v>
      </c>
      <c r="C115" s="155" t="s">
        <v>143</v>
      </c>
      <c r="D115" s="206"/>
      <c r="E115" s="221" t="s">
        <v>158</v>
      </c>
      <c r="F115" s="221" t="s">
        <v>175</v>
      </c>
      <c r="G115" s="279"/>
      <c r="H115" s="93">
        <v>44713</v>
      </c>
      <c r="I115" s="267" t="s">
        <v>458</v>
      </c>
      <c r="J115" s="91">
        <f>IFERROR(VLOOKUP(C115,'QB Consolidated Contacts'!$A$1:$F$333,6),"-")</f>
        <v>0</v>
      </c>
      <c r="K115" s="276" t="s">
        <v>39</v>
      </c>
      <c r="L115" s="276"/>
      <c r="M115" s="276" t="s">
        <v>309</v>
      </c>
      <c r="N115" s="275"/>
      <c r="O115" s="276"/>
      <c r="P115" s="272" t="s">
        <v>290</v>
      </c>
      <c r="Q115" s="272" t="s">
        <v>439</v>
      </c>
      <c r="R115" s="273"/>
      <c r="S115" s="273">
        <v>116200</v>
      </c>
      <c r="T115" s="274">
        <v>664</v>
      </c>
      <c r="U115" s="92" t="s">
        <v>46</v>
      </c>
      <c r="V115" s="93" t="str">
        <f t="shared" si="9"/>
        <v/>
      </c>
      <c r="W115" s="92" t="str">
        <f t="shared" ca="1" si="8"/>
        <v/>
      </c>
      <c r="X115" s="92" t="str">
        <f ca="1">IF(SOWS[[#This Row],[Days to Contract End]]&lt;=90,"R",IF(AND(SOWS[[#This Row],[Days to Contract End]]&lt;180),"A","G"))</f>
        <v>G</v>
      </c>
      <c r="Y115" s="235" t="s">
        <v>459</v>
      </c>
      <c r="Z115" s="51"/>
      <c r="AA115" s="52"/>
      <c r="AB115" s="52"/>
      <c r="AC115" s="52"/>
      <c r="AE115" s="52"/>
      <c r="AF115" s="52"/>
    </row>
    <row r="116" spans="2:32" ht="38.450000000000003" customHeight="1">
      <c r="B116" s="275" t="s">
        <v>42</v>
      </c>
      <c r="C116" s="155" t="s">
        <v>145</v>
      </c>
      <c r="D116" s="206" t="s">
        <v>132</v>
      </c>
      <c r="E116" s="221" t="s">
        <v>158</v>
      </c>
      <c r="F116" s="221" t="s">
        <v>175</v>
      </c>
      <c r="G116" s="279"/>
      <c r="H116" s="93">
        <v>45113</v>
      </c>
      <c r="I116" s="268" t="s">
        <v>460</v>
      </c>
      <c r="J116" s="91">
        <f>IFERROR(VLOOKUP(C116,'QB Consolidated Contacts'!$A$1:$F$333,6),"-")</f>
        <v>0</v>
      </c>
      <c r="K116" s="276" t="s">
        <v>39</v>
      </c>
      <c r="L116" s="276" t="s">
        <v>39</v>
      </c>
      <c r="M116" s="276" t="s">
        <v>315</v>
      </c>
      <c r="N116" s="275"/>
      <c r="O116" s="276">
        <v>4500032976</v>
      </c>
      <c r="P116" s="272"/>
      <c r="Q116" s="272"/>
      <c r="R116" s="273"/>
      <c r="S116" s="273"/>
      <c r="T116" s="274">
        <v>740</v>
      </c>
      <c r="U116" s="92">
        <v>7</v>
      </c>
      <c r="V116" s="93">
        <f t="shared" si="9"/>
        <v>45328</v>
      </c>
      <c r="W116" s="92">
        <f t="shared" ca="1" si="8"/>
        <v>-765</v>
      </c>
      <c r="X116" s="92" t="str">
        <f ca="1">IF(SOWS[[#This Row],[Days to Contract End]]&lt;=90,"R",IF(AND(SOWS[[#This Row],[Days to Contract End]]&lt;180),"A","G"))</f>
        <v>R</v>
      </c>
      <c r="Y116" s="235"/>
      <c r="Z116" s="51"/>
      <c r="AA116" s="52"/>
      <c r="AB116" s="52"/>
      <c r="AC116" s="52"/>
      <c r="AE116" s="52"/>
      <c r="AF116" s="52"/>
    </row>
    <row r="117" spans="2:32" ht="38.450000000000003" customHeight="1">
      <c r="B117" s="275" t="s">
        <v>42</v>
      </c>
      <c r="C117" s="155" t="s">
        <v>148</v>
      </c>
      <c r="D117" s="206" t="s">
        <v>132</v>
      </c>
      <c r="E117" s="221" t="s">
        <v>158</v>
      </c>
      <c r="F117" s="221" t="s">
        <v>175</v>
      </c>
      <c r="G117" s="279"/>
      <c r="H117" s="93" t="s">
        <v>461</v>
      </c>
      <c r="I117" s="266" t="s">
        <v>462</v>
      </c>
      <c r="J117" s="91" t="str">
        <f>IFERROR(VLOOKUP(Agreements!B207,'QB Consolidated Contacts'!$A$1:$F$333,6),"-")</f>
        <v>-</v>
      </c>
      <c r="K117" s="276" t="s">
        <v>39</v>
      </c>
      <c r="L117" s="276" t="s">
        <v>39</v>
      </c>
      <c r="M117" s="276"/>
      <c r="N117" s="275"/>
      <c r="O117" s="276"/>
      <c r="P117" s="275"/>
      <c r="Q117" s="275"/>
      <c r="R117" s="273"/>
      <c r="S117" s="273"/>
      <c r="T117" s="274"/>
      <c r="U117" s="92"/>
      <c r="V117" s="93">
        <f>IFERROR(EDATE(Agreements!U207,Agreements!V207),"")</f>
        <v>0</v>
      </c>
      <c r="W117" s="92">
        <f ca="1">IFERROR(Agreements!W207-TODAY(),"")</f>
        <v>-46093</v>
      </c>
      <c r="X117" s="92" t="str">
        <f ca="1">IF(SOWS[[#This Row],[Days to Contract End]]&lt;=90,"R",IF(AND(SOWS[[#This Row],[Days to Contract End]]&lt;180),"A","G"))</f>
        <v>R</v>
      </c>
      <c r="Y117" s="235"/>
      <c r="Z117" s="51"/>
      <c r="AA117" s="52"/>
      <c r="AB117" s="52"/>
      <c r="AC117" s="52"/>
      <c r="AE117" s="52"/>
      <c r="AF117" s="52"/>
    </row>
    <row r="118" spans="2:32" ht="38.450000000000003" customHeight="1">
      <c r="B118" s="275" t="s">
        <v>42</v>
      </c>
      <c r="C118" s="155" t="s">
        <v>148</v>
      </c>
      <c r="D118" s="206" t="s">
        <v>132</v>
      </c>
      <c r="E118" s="221" t="s">
        <v>158</v>
      </c>
      <c r="F118" s="221" t="s">
        <v>175</v>
      </c>
      <c r="G118" s="279"/>
      <c r="H118" s="93"/>
      <c r="I118" s="266" t="s">
        <v>463</v>
      </c>
      <c r="J118" s="285" t="s">
        <v>464</v>
      </c>
      <c r="K118" s="276" t="s">
        <v>39</v>
      </c>
      <c r="L118" s="276" t="s">
        <v>39</v>
      </c>
      <c r="M118" s="276" t="s">
        <v>309</v>
      </c>
      <c r="N118" s="275"/>
      <c r="O118" s="276" t="s">
        <v>144</v>
      </c>
      <c r="P118" s="272"/>
      <c r="Q118" s="272"/>
      <c r="R118" s="273"/>
      <c r="S118" s="273"/>
      <c r="T118" s="274"/>
      <c r="U118" s="92"/>
      <c r="V118" s="93">
        <f>IFERROR(EDATE(H118,U118),"")</f>
        <v>0</v>
      </c>
      <c r="W118" s="92">
        <f ca="1">IFERROR(V118-TODAY(),"")</f>
        <v>-46093</v>
      </c>
      <c r="X118" s="92" t="str">
        <f ca="1">IF(SOWS[[#This Row],[Days to Contract End]]&lt;=90,"R",IF(AND(SOWS[[#This Row],[Days to Contract End]]&lt;180),"A","G"))</f>
        <v>R</v>
      </c>
      <c r="Y118" s="235" t="s">
        <v>465</v>
      </c>
      <c r="Z118" s="51"/>
      <c r="AA118" s="52"/>
      <c r="AB118" s="52"/>
      <c r="AC118" s="52"/>
      <c r="AE118" s="52"/>
      <c r="AF118" s="52"/>
    </row>
    <row r="119" spans="2:32" ht="38.450000000000003" customHeight="1">
      <c r="B119" s="275" t="s">
        <v>42</v>
      </c>
      <c r="C119" s="155" t="s">
        <v>148</v>
      </c>
      <c r="D119" s="206" t="s">
        <v>132</v>
      </c>
      <c r="E119" s="221" t="s">
        <v>158</v>
      </c>
      <c r="F119" s="221" t="s">
        <v>175</v>
      </c>
      <c r="G119" s="279">
        <v>45776</v>
      </c>
      <c r="H119" s="93"/>
      <c r="I119" s="266" t="s">
        <v>462</v>
      </c>
      <c r="J119" s="278" t="str">
        <f>IFERROR(VLOOKUP(Agreements!B277,'QB Consolidated Contacts'!$A$1:$F$333,6),"-")</f>
        <v>-</v>
      </c>
      <c r="K119" s="276" t="s">
        <v>39</v>
      </c>
      <c r="L119" s="276" t="s">
        <v>39</v>
      </c>
      <c r="M119" s="276"/>
      <c r="N119" s="275"/>
      <c r="O119" s="276"/>
      <c r="P119" s="272"/>
      <c r="Q119" s="272"/>
      <c r="R119" s="273"/>
      <c r="S119" s="273"/>
      <c r="T119" s="274"/>
      <c r="U119" s="92"/>
      <c r="V119" s="93">
        <f>IFERROR(EDATE(Agreements!U277,Agreements!V277),"")</f>
        <v>0</v>
      </c>
      <c r="W119" s="92">
        <f ca="1">IFERROR(Agreements!W277-TODAY(),"")</f>
        <v>-46093</v>
      </c>
      <c r="X119" s="92" t="str">
        <f ca="1">IF(SOWS[[#This Row],[Days to Contract End]]&lt;=90,"R",IF(AND(SOWS[[#This Row],[Days to Contract End]]&lt;180),"A","G"))</f>
        <v>R</v>
      </c>
      <c r="Y119" s="235"/>
      <c r="Z119" s="51"/>
      <c r="AA119" s="52"/>
      <c r="AB119" s="52"/>
      <c r="AC119" s="52"/>
      <c r="AE119" s="52"/>
      <c r="AF119" s="52"/>
    </row>
    <row r="120" spans="2:32" ht="38.450000000000003" customHeight="1">
      <c r="B120" s="275" t="s">
        <v>42</v>
      </c>
      <c r="C120" s="155" t="s">
        <v>466</v>
      </c>
      <c r="D120" s="206" t="s">
        <v>174</v>
      </c>
      <c r="E120" s="221" t="s">
        <v>158</v>
      </c>
      <c r="F120" s="221" t="s">
        <v>175</v>
      </c>
      <c r="G120" s="279"/>
      <c r="H120" s="93"/>
      <c r="I120" s="243" t="s">
        <v>467</v>
      </c>
      <c r="J120" s="278">
        <f>IFERROR(VLOOKUP(C120,'QB Consolidated Contacts'!$A$1:$F$333,6),"-")</f>
        <v>0</v>
      </c>
      <c r="K120" s="276" t="s">
        <v>40</v>
      </c>
      <c r="L120" s="276" t="s">
        <v>40</v>
      </c>
      <c r="M120" s="276" t="s">
        <v>315</v>
      </c>
      <c r="N120" s="275"/>
      <c r="O120" s="276"/>
      <c r="P120" s="272"/>
      <c r="Q120" s="272"/>
      <c r="R120" s="273"/>
      <c r="S120" s="273"/>
      <c r="T120" s="274"/>
      <c r="U120" s="92"/>
      <c r="V120" s="93">
        <f>IFERROR(EDATE(H120,U120),"")</f>
        <v>0</v>
      </c>
      <c r="W120" s="92">
        <f t="shared" ref="W120:W125" ca="1" si="10">IFERROR(V120-TODAY(),"")</f>
        <v>-46093</v>
      </c>
      <c r="X120" s="92" t="str">
        <f ca="1">IF(SOWS[[#This Row],[Days to Contract End]]&lt;=90,"R",IF(AND(SOWS[[#This Row],[Days to Contract End]]&lt;180),"A","G"))</f>
        <v>R</v>
      </c>
      <c r="Y120" s="235"/>
      <c r="Z120" s="51"/>
      <c r="AA120" s="52"/>
      <c r="AB120" s="52"/>
      <c r="AC120" s="52"/>
      <c r="AE120" s="52"/>
      <c r="AF120" s="52"/>
    </row>
    <row r="121" spans="2:32" ht="38.450000000000003" customHeight="1">
      <c r="B121" s="275"/>
      <c r="C121" s="155" t="s">
        <v>152</v>
      </c>
      <c r="D121" s="206"/>
      <c r="E121" s="221"/>
      <c r="F121" s="221" t="s">
        <v>108</v>
      </c>
      <c r="G121" s="279"/>
      <c r="H121" s="93"/>
      <c r="I121" s="268"/>
      <c r="J121" s="91">
        <f>IFERROR(VLOOKUP(C121,'QB Consolidated Contacts'!$A$1:$F$333,6),"-")</f>
        <v>0</v>
      </c>
      <c r="K121" s="276" t="s">
        <v>40</v>
      </c>
      <c r="L121" s="276"/>
      <c r="M121" s="276" t="s">
        <v>108</v>
      </c>
      <c r="N121" s="275"/>
      <c r="O121" s="276"/>
      <c r="P121" s="272"/>
      <c r="Q121" s="272"/>
      <c r="R121" s="273"/>
      <c r="S121" s="273"/>
      <c r="T121" s="274"/>
      <c r="U121" s="92"/>
      <c r="V121" s="93">
        <f>IFERROR(EDATE(H121,U121),"")</f>
        <v>0</v>
      </c>
      <c r="W121" s="92">
        <f t="shared" ca="1" si="10"/>
        <v>-46093</v>
      </c>
      <c r="X121" s="92" t="str">
        <f ca="1">IF(SOWS[[#This Row],[Days to Contract End]]&lt;=90,"R",IF(AND(SOWS[[#This Row],[Days to Contract End]]&lt;180),"A","G"))</f>
        <v>R</v>
      </c>
      <c r="Y121" s="235"/>
      <c r="Z121" s="51"/>
      <c r="AA121" s="52"/>
      <c r="AB121" s="52"/>
      <c r="AC121" s="52"/>
      <c r="AE121" s="52"/>
      <c r="AF121" s="52"/>
    </row>
    <row r="122" spans="2:32" ht="38.450000000000003" customHeight="1">
      <c r="B122" s="275" t="s">
        <v>42</v>
      </c>
      <c r="C122" s="155" t="s">
        <v>153</v>
      </c>
      <c r="D122" s="206" t="s">
        <v>132</v>
      </c>
      <c r="E122" s="221" t="s">
        <v>158</v>
      </c>
      <c r="F122" s="221" t="s">
        <v>175</v>
      </c>
      <c r="G122" s="279"/>
      <c r="H122" s="93">
        <v>45434</v>
      </c>
      <c r="I122" s="243" t="s">
        <v>468</v>
      </c>
      <c r="J122" s="278">
        <f>IFERROR(VLOOKUP(C122,'QB Consolidated Contacts'!$A$1:$F$333,6),"-")</f>
        <v>0</v>
      </c>
      <c r="K122" s="276" t="s">
        <v>39</v>
      </c>
      <c r="L122" s="276" t="s">
        <v>39</v>
      </c>
      <c r="M122" s="276" t="s">
        <v>315</v>
      </c>
      <c r="N122" s="243" t="s">
        <v>39</v>
      </c>
      <c r="O122" s="276"/>
      <c r="P122" s="272"/>
      <c r="Q122" s="272"/>
      <c r="R122" s="273"/>
      <c r="S122" s="273"/>
      <c r="T122" s="274"/>
      <c r="U122" s="92">
        <v>7</v>
      </c>
      <c r="V122" s="93">
        <f>IFERROR(EDATE(H122,U122),"")+9</f>
        <v>45657</v>
      </c>
      <c r="W122" s="92">
        <f t="shared" ca="1" si="10"/>
        <v>-436</v>
      </c>
      <c r="X122" s="92" t="str">
        <f ca="1">IF(SOWS[[#This Row],[Days to Contract End]]&lt;=90,"R",IF(AND(SOWS[[#This Row],[Days to Contract End]]&lt;180),"A","G"))</f>
        <v>R</v>
      </c>
      <c r="Y122" s="235"/>
      <c r="Z122" s="51"/>
      <c r="AA122" s="52"/>
      <c r="AB122" s="52"/>
      <c r="AC122" s="52"/>
      <c r="AE122" s="52"/>
      <c r="AF122" s="52"/>
    </row>
    <row r="123" spans="2:32" ht="38.450000000000003" customHeight="1">
      <c r="B123" s="275" t="s">
        <v>42</v>
      </c>
      <c r="C123" s="155" t="s">
        <v>156</v>
      </c>
      <c r="D123" s="206" t="s">
        <v>132</v>
      </c>
      <c r="E123" s="221" t="s">
        <v>158</v>
      </c>
      <c r="F123" s="221" t="s">
        <v>175</v>
      </c>
      <c r="G123" s="279"/>
      <c r="H123" s="93">
        <v>44306</v>
      </c>
      <c r="I123" s="266" t="s">
        <v>469</v>
      </c>
      <c r="J123" s="91">
        <f>IFERROR(VLOOKUP(C123,'QB Consolidated Contacts'!$A$1:$F$333,6),"-")</f>
        <v>0</v>
      </c>
      <c r="K123" s="276" t="s">
        <v>39</v>
      </c>
      <c r="L123" s="276"/>
      <c r="M123" s="276" t="s">
        <v>315</v>
      </c>
      <c r="N123" s="275"/>
      <c r="O123" s="276"/>
      <c r="P123" s="272" t="s">
        <v>290</v>
      </c>
      <c r="Q123" s="272" t="s">
        <v>439</v>
      </c>
      <c r="R123" s="273"/>
      <c r="S123" s="273">
        <v>26400</v>
      </c>
      <c r="T123" s="274">
        <v>176</v>
      </c>
      <c r="U123" s="92" t="s">
        <v>46</v>
      </c>
      <c r="V123" s="93" t="str">
        <f>IFERROR(EDATE(H123,U123),"")</f>
        <v/>
      </c>
      <c r="W123" s="92" t="str">
        <f t="shared" ca="1" si="10"/>
        <v/>
      </c>
      <c r="X123" s="92" t="str">
        <f ca="1">IF(SOWS[[#This Row],[Days to Contract End]]&lt;=90,"R",IF(AND(SOWS[[#This Row],[Days to Contract End]]&lt;180),"A","G"))</f>
        <v>G</v>
      </c>
      <c r="Y123" s="235" t="s">
        <v>470</v>
      </c>
      <c r="Z123" s="51"/>
      <c r="AA123" s="52"/>
      <c r="AB123" s="52"/>
      <c r="AC123" s="52"/>
      <c r="AE123" s="52"/>
      <c r="AF123" s="52"/>
    </row>
    <row r="124" spans="2:32" ht="38.450000000000003" customHeight="1">
      <c r="B124" s="275" t="s">
        <v>42</v>
      </c>
      <c r="C124" s="155" t="s">
        <v>157</v>
      </c>
      <c r="D124" s="206" t="s">
        <v>132</v>
      </c>
      <c r="E124" s="221" t="s">
        <v>158</v>
      </c>
      <c r="F124" s="221" t="s">
        <v>295</v>
      </c>
      <c r="G124" s="279"/>
      <c r="H124" s="93">
        <v>43711</v>
      </c>
      <c r="I124" s="267" t="s">
        <v>471</v>
      </c>
      <c r="J124" s="91">
        <f>IFERROR(VLOOKUP(C124,'QB Consolidated Contacts'!$A$1:$F$333,6),"-")</f>
        <v>0</v>
      </c>
      <c r="K124" s="276" t="s">
        <v>39</v>
      </c>
      <c r="L124" s="276"/>
      <c r="M124" s="276" t="s">
        <v>309</v>
      </c>
      <c r="N124" s="275"/>
      <c r="O124" s="276"/>
      <c r="P124" s="272" t="s">
        <v>48</v>
      </c>
      <c r="Q124" s="272"/>
      <c r="R124" s="273"/>
      <c r="S124" s="273"/>
      <c r="T124" s="274" t="s">
        <v>48</v>
      </c>
      <c r="U124" s="92" t="s">
        <v>46</v>
      </c>
      <c r="V124" s="93" t="str">
        <f>IFERROR(EDATE(H124,U124),"")</f>
        <v/>
      </c>
      <c r="W124" s="92" t="str">
        <f t="shared" ca="1" si="10"/>
        <v/>
      </c>
      <c r="X124" s="92" t="str">
        <f ca="1">IF(SOWS[[#This Row],[Days to Contract End]]&lt;=90,"R",IF(AND(SOWS[[#This Row],[Days to Contract End]]&lt;180),"A","G"))</f>
        <v>G</v>
      </c>
      <c r="Y124" s="235"/>
      <c r="Z124" s="51"/>
      <c r="AA124" s="52"/>
      <c r="AB124" s="52"/>
      <c r="AC124" s="52"/>
      <c r="AE124" s="52"/>
      <c r="AF124" s="52"/>
    </row>
    <row r="125" spans="2:32" ht="38.450000000000003" customHeight="1">
      <c r="B125" s="275" t="s">
        <v>51</v>
      </c>
      <c r="C125" s="155" t="s">
        <v>157</v>
      </c>
      <c r="D125" s="206" t="s">
        <v>132</v>
      </c>
      <c r="E125" s="221" t="s">
        <v>158</v>
      </c>
      <c r="F125" s="221" t="s">
        <v>288</v>
      </c>
      <c r="G125" s="279"/>
      <c r="H125" s="93">
        <v>44704</v>
      </c>
      <c r="I125" s="267" t="s">
        <v>472</v>
      </c>
      <c r="J125" s="91">
        <f>IFERROR(VLOOKUP(C125,'QB Consolidated Contacts'!$A$1:$F$333,6),"-")</f>
        <v>0</v>
      </c>
      <c r="K125" s="276" t="s">
        <v>39</v>
      </c>
      <c r="L125" s="276"/>
      <c r="M125" s="276" t="s">
        <v>309</v>
      </c>
      <c r="N125" s="275"/>
      <c r="O125" s="276"/>
      <c r="P125" s="272" t="s">
        <v>290</v>
      </c>
      <c r="Q125" s="272"/>
      <c r="R125" s="273"/>
      <c r="S125" s="273"/>
      <c r="T125" s="274">
        <v>8</v>
      </c>
      <c r="U125" s="92" t="s">
        <v>46</v>
      </c>
      <c r="V125" s="93" t="str">
        <f>IFERROR(EDATE(H125,U125),"")</f>
        <v/>
      </c>
      <c r="W125" s="92" t="str">
        <f t="shared" ca="1" si="10"/>
        <v/>
      </c>
      <c r="X125" s="92" t="str">
        <f ca="1">IF(SOWS[[#This Row],[Days to Contract End]]&lt;=90,"R",IF(AND(SOWS[[#This Row],[Days to Contract End]]&lt;180),"A","G"))</f>
        <v>G</v>
      </c>
      <c r="Y125" s="235" t="s">
        <v>473</v>
      </c>
      <c r="Z125" s="51"/>
      <c r="AA125" s="52"/>
      <c r="AB125" s="52"/>
      <c r="AC125" s="52"/>
      <c r="AE125" s="52"/>
      <c r="AF125" s="52"/>
    </row>
    <row r="126" spans="2:32" ht="38.450000000000003" customHeight="1">
      <c r="B126" s="275" t="s">
        <v>51</v>
      </c>
      <c r="C126" s="155" t="s">
        <v>157</v>
      </c>
      <c r="D126" s="206" t="s">
        <v>132</v>
      </c>
      <c r="E126" s="221" t="s">
        <v>158</v>
      </c>
      <c r="F126" s="221" t="s">
        <v>474</v>
      </c>
      <c r="G126" s="279"/>
      <c r="H126" s="93"/>
      <c r="I126" s="266" t="s">
        <v>475</v>
      </c>
      <c r="J126" s="91" t="str">
        <f>IFERROR(VLOOKUP(Agreements!B226,'QB Consolidated Contacts'!$A$1:$F$333,6),"-")</f>
        <v>-</v>
      </c>
      <c r="K126" s="276" t="s">
        <v>39</v>
      </c>
      <c r="L126" s="276" t="s">
        <v>39</v>
      </c>
      <c r="M126" s="276"/>
      <c r="N126" s="275"/>
      <c r="O126" s="276"/>
      <c r="P126" s="272"/>
      <c r="Q126" s="272"/>
      <c r="R126" s="273"/>
      <c r="S126" s="273"/>
      <c r="T126" s="274"/>
      <c r="U126" s="92"/>
      <c r="V126" s="93">
        <f>IFERROR(EDATE(Agreements!U226,Agreements!V226),"")</f>
        <v>0</v>
      </c>
      <c r="W126" s="92">
        <f ca="1">IFERROR(Agreements!W226-TODAY(),"")</f>
        <v>-46093</v>
      </c>
      <c r="X126" s="92" t="str">
        <f ca="1">IF(SOWS[[#This Row],[Days to Contract End]]&lt;=90,"R",IF(AND(SOWS[[#This Row],[Days to Contract End]]&lt;180),"A","G"))</f>
        <v>R</v>
      </c>
      <c r="Y126" s="235"/>
      <c r="Z126" s="51"/>
      <c r="AA126" s="52"/>
      <c r="AB126" s="52"/>
      <c r="AC126" s="52"/>
      <c r="AE126" s="52"/>
      <c r="AF126" s="52"/>
    </row>
    <row r="127" spans="2:32" ht="38.450000000000003" customHeight="1">
      <c r="B127" s="275" t="s">
        <v>51</v>
      </c>
      <c r="C127" s="155" t="s">
        <v>157</v>
      </c>
      <c r="D127" s="206" t="s">
        <v>132</v>
      </c>
      <c r="E127" s="221" t="s">
        <v>158</v>
      </c>
      <c r="F127" s="221" t="s">
        <v>474</v>
      </c>
      <c r="G127" s="279"/>
      <c r="H127" s="93">
        <v>45124</v>
      </c>
      <c r="I127" s="266" t="s">
        <v>476</v>
      </c>
      <c r="J127" s="91">
        <f>IFERROR(VLOOKUP(C127,'QB Consolidated Contacts'!$A$1:$F$333,6),"-")</f>
        <v>0</v>
      </c>
      <c r="K127" s="276" t="s">
        <v>39</v>
      </c>
      <c r="L127" s="276" t="s">
        <v>39</v>
      </c>
      <c r="M127" s="276" t="s">
        <v>309</v>
      </c>
      <c r="N127" s="301">
        <v>1000033602</v>
      </c>
      <c r="O127" s="276"/>
      <c r="P127" s="272"/>
      <c r="Q127" s="272"/>
      <c r="R127" s="273"/>
      <c r="S127" s="273"/>
      <c r="T127" s="274">
        <v>50</v>
      </c>
      <c r="U127" s="92">
        <v>12</v>
      </c>
      <c r="V127" s="93">
        <f t="shared" ref="V127:V135" si="11">IFERROR(EDATE(H127,U127),"")</f>
        <v>45490</v>
      </c>
      <c r="W127" s="92">
        <f t="shared" ref="W127:W134" ca="1" si="12">IFERROR(V127-TODAY(),"")</f>
        <v>-603</v>
      </c>
      <c r="X127" s="92" t="str">
        <f ca="1">IF(SOWS[[#This Row],[Days to Contract End]]&lt;=90,"R",IF(AND(SOWS[[#This Row],[Days to Contract End]]&lt;180),"A","G"))</f>
        <v>R</v>
      </c>
      <c r="Y127" s="235"/>
      <c r="Z127" s="51"/>
      <c r="AA127" s="52"/>
      <c r="AB127" s="52"/>
      <c r="AC127" s="52"/>
      <c r="AE127" s="52"/>
      <c r="AF127" s="52"/>
    </row>
    <row r="128" spans="2:32" ht="38.450000000000003" customHeight="1">
      <c r="B128" s="275" t="s">
        <v>51</v>
      </c>
      <c r="C128" s="155" t="s">
        <v>157</v>
      </c>
      <c r="D128" s="206" t="s">
        <v>132</v>
      </c>
      <c r="E128" s="221" t="s">
        <v>158</v>
      </c>
      <c r="F128" s="221" t="s">
        <v>288</v>
      </c>
      <c r="G128" s="279"/>
      <c r="H128" s="93">
        <v>44704</v>
      </c>
      <c r="I128" s="267" t="s">
        <v>477</v>
      </c>
      <c r="J128" s="91">
        <f>IFERROR(VLOOKUP(C128,'QB Consolidated Contacts'!$A$1:$F$333,6),"-")</f>
        <v>0</v>
      </c>
      <c r="K128" s="276" t="s">
        <v>39</v>
      </c>
      <c r="L128" s="276"/>
      <c r="M128" s="276" t="s">
        <v>309</v>
      </c>
      <c r="N128" s="275" t="s">
        <v>39</v>
      </c>
      <c r="O128" s="276">
        <v>1000012449</v>
      </c>
      <c r="P128" s="272" t="s">
        <v>290</v>
      </c>
      <c r="Q128" s="272"/>
      <c r="R128" s="273" t="s">
        <v>48</v>
      </c>
      <c r="S128" s="273">
        <v>7000</v>
      </c>
      <c r="T128" s="274">
        <v>40</v>
      </c>
      <c r="U128" s="92" t="s">
        <v>282</v>
      </c>
      <c r="V128" s="93" t="str">
        <f t="shared" si="11"/>
        <v/>
      </c>
      <c r="W128" s="92" t="str">
        <f t="shared" ca="1" si="12"/>
        <v/>
      </c>
      <c r="X128" s="92" t="str">
        <f ca="1">IF(SOWS[[#This Row],[Days to Contract End]]&lt;=90,"R",IF(AND(SOWS[[#This Row],[Days to Contract End]]&lt;180),"A","G"))</f>
        <v>G</v>
      </c>
      <c r="Y128" s="235"/>
      <c r="Z128" s="51"/>
      <c r="AA128" s="52"/>
      <c r="AB128" s="52"/>
      <c r="AC128" s="52"/>
      <c r="AE128" s="52"/>
      <c r="AF128" s="52"/>
    </row>
    <row r="129" spans="2:32" ht="38.450000000000003" customHeight="1">
      <c r="B129" s="275" t="s">
        <v>51</v>
      </c>
      <c r="C129" s="155" t="s">
        <v>157</v>
      </c>
      <c r="D129" s="206" t="s">
        <v>132</v>
      </c>
      <c r="E129" s="221" t="s">
        <v>158</v>
      </c>
      <c r="F129" s="221" t="s">
        <v>474</v>
      </c>
      <c r="G129" s="279"/>
      <c r="H129" s="93">
        <v>45490</v>
      </c>
      <c r="I129" s="243" t="s">
        <v>478</v>
      </c>
      <c r="J129" s="278">
        <f>IFERROR(VLOOKUP(C129,'QB Consolidated Contacts'!$A$1:$F$333,6),"-")</f>
        <v>0</v>
      </c>
      <c r="K129" s="276" t="s">
        <v>39</v>
      </c>
      <c r="L129" s="276" t="s">
        <v>39</v>
      </c>
      <c r="M129" s="276" t="s">
        <v>315</v>
      </c>
      <c r="N129" s="275" t="s">
        <v>479</v>
      </c>
      <c r="O129" s="276"/>
      <c r="P129" s="272"/>
      <c r="Q129" s="272"/>
      <c r="R129" s="273"/>
      <c r="S129" s="273"/>
      <c r="T129" s="274"/>
      <c r="U129" s="92">
        <v>12</v>
      </c>
      <c r="V129" s="93">
        <f t="shared" si="11"/>
        <v>45855</v>
      </c>
      <c r="W129" s="92">
        <f t="shared" ca="1" si="12"/>
        <v>-238</v>
      </c>
      <c r="X129" s="92" t="str">
        <f ca="1">IF(SOWS[[#This Row],[Days to Contract End]]&lt;=90,"R",IF(AND(SOWS[[#This Row],[Days to Contract End]]&lt;180),"A","G"))</f>
        <v>R</v>
      </c>
      <c r="Y129" s="235"/>
      <c r="Z129" s="72"/>
      <c r="AA129" s="51"/>
      <c r="AB129" s="52"/>
      <c r="AC129" s="52"/>
      <c r="AE129" s="52"/>
      <c r="AF129" s="52"/>
    </row>
    <row r="130" spans="2:32" ht="38.450000000000003" customHeight="1">
      <c r="B130" s="275"/>
      <c r="C130" s="155" t="s">
        <v>160</v>
      </c>
      <c r="D130" s="206"/>
      <c r="E130" s="221"/>
      <c r="F130" s="221" t="s">
        <v>108</v>
      </c>
      <c r="G130" s="279"/>
      <c r="H130" s="93"/>
      <c r="I130" s="286" t="s">
        <v>162</v>
      </c>
      <c r="J130" s="91">
        <f>IFERROR(VLOOKUP(C130,'QB Consolidated Contacts'!$A$1:$F$333,6),"-")</f>
        <v>0</v>
      </c>
      <c r="K130" s="276" t="s">
        <v>40</v>
      </c>
      <c r="L130" s="276"/>
      <c r="M130" s="276" t="s">
        <v>108</v>
      </c>
      <c r="N130" s="275"/>
      <c r="O130" s="276"/>
      <c r="P130" s="272" t="s">
        <v>290</v>
      </c>
      <c r="Q130" s="272"/>
      <c r="R130" s="273"/>
      <c r="S130" s="273"/>
      <c r="T130" s="274">
        <v>160</v>
      </c>
      <c r="U130" s="92"/>
      <c r="V130" s="93">
        <f t="shared" si="11"/>
        <v>0</v>
      </c>
      <c r="W130" s="92">
        <f t="shared" ca="1" si="12"/>
        <v>-46093</v>
      </c>
      <c r="X130" s="92" t="str">
        <f ca="1">IF(SOWS[[#This Row],[Days to Contract End]]&lt;=90,"R",IF(AND(SOWS[[#This Row],[Days to Contract End]]&lt;180),"A","G"))</f>
        <v>R</v>
      </c>
      <c r="Y130" s="235" t="s">
        <v>163</v>
      </c>
      <c r="Z130" s="72"/>
      <c r="AA130" s="51"/>
      <c r="AB130" s="52"/>
      <c r="AC130" s="52"/>
      <c r="AE130" s="52"/>
      <c r="AF130" s="52"/>
    </row>
    <row r="131" spans="2:32" ht="38.450000000000003" customHeight="1">
      <c r="B131" s="275" t="s">
        <v>42</v>
      </c>
      <c r="C131" s="287" t="s">
        <v>164</v>
      </c>
      <c r="D131" s="206"/>
      <c r="E131" s="221" t="s">
        <v>158</v>
      </c>
      <c r="F131" s="221" t="s">
        <v>480</v>
      </c>
      <c r="G131" s="279"/>
      <c r="H131" s="93">
        <v>45141</v>
      </c>
      <c r="I131" s="266" t="s">
        <v>481</v>
      </c>
      <c r="J131" s="91">
        <f>IFERROR(VLOOKUP(C131,'QB Consolidated Contacts'!$A$1:$F$333,6),"-")</f>
        <v>0</v>
      </c>
      <c r="K131" s="276" t="s">
        <v>39</v>
      </c>
      <c r="L131" s="276" t="s">
        <v>39</v>
      </c>
      <c r="M131" s="276" t="s">
        <v>315</v>
      </c>
      <c r="N131" s="275"/>
      <c r="O131" s="276"/>
      <c r="P131" s="272"/>
      <c r="Q131" s="272"/>
      <c r="R131" s="273"/>
      <c r="S131" s="273"/>
      <c r="T131" s="274"/>
      <c r="U131" s="92"/>
      <c r="V131" s="93">
        <f t="shared" si="11"/>
        <v>45141</v>
      </c>
      <c r="W131" s="92">
        <f t="shared" ca="1" si="12"/>
        <v>-952</v>
      </c>
      <c r="X131" s="92" t="str">
        <f ca="1">IF(SOWS[[#This Row],[Days to Contract End]]&lt;=90,"R",IF(AND(SOWS[[#This Row],[Days to Contract End]]&lt;180),"A","G"))</f>
        <v>R</v>
      </c>
      <c r="Y131" s="235"/>
      <c r="Z131" s="72"/>
      <c r="AA131" s="51"/>
      <c r="AB131" s="52"/>
      <c r="AC131" s="52"/>
      <c r="AE131" s="52"/>
      <c r="AF131" s="52"/>
    </row>
    <row r="132" spans="2:32" ht="38.450000000000003" customHeight="1">
      <c r="B132" s="275" t="s">
        <v>42</v>
      </c>
      <c r="C132" s="287" t="s">
        <v>164</v>
      </c>
      <c r="D132" s="206" t="s">
        <v>174</v>
      </c>
      <c r="E132" s="221" t="s">
        <v>158</v>
      </c>
      <c r="F132" s="221" t="s">
        <v>175</v>
      </c>
      <c r="G132" s="279"/>
      <c r="H132" s="93">
        <v>44929</v>
      </c>
      <c r="I132" s="266" t="s">
        <v>482</v>
      </c>
      <c r="J132" s="91">
        <f>IFERROR(VLOOKUP(C132,'QB Consolidated Contacts'!$A$1:$F$333,6),"-")</f>
        <v>0</v>
      </c>
      <c r="K132" s="276" t="s">
        <v>39</v>
      </c>
      <c r="L132" s="276"/>
      <c r="M132" s="276" t="s">
        <v>315</v>
      </c>
      <c r="N132" s="275" t="s">
        <v>108</v>
      </c>
      <c r="O132" s="288" t="s">
        <v>483</v>
      </c>
      <c r="P132" s="272" t="s">
        <v>290</v>
      </c>
      <c r="Q132" s="272" t="s">
        <v>439</v>
      </c>
      <c r="R132" s="273">
        <v>21625</v>
      </c>
      <c r="S132" s="273">
        <f>SOWS[[#This Row],[Monthly Budget]]*6</f>
        <v>129750</v>
      </c>
      <c r="T132" s="274" t="s">
        <v>292</v>
      </c>
      <c r="U132" s="92">
        <v>6</v>
      </c>
      <c r="V132" s="93">
        <f t="shared" si="11"/>
        <v>45110</v>
      </c>
      <c r="W132" s="92">
        <f t="shared" ca="1" si="12"/>
        <v>-983</v>
      </c>
      <c r="X132" s="92" t="str">
        <f ca="1">IF(SOWS[[#This Row],[Days to Contract End]]&lt;=90,"R",IF(AND(SOWS[[#This Row],[Days to Contract End]]&lt;180),"A","G"))</f>
        <v>R</v>
      </c>
      <c r="Y132" s="235"/>
      <c r="Z132" s="72"/>
      <c r="AA132" s="51"/>
      <c r="AB132" s="52"/>
      <c r="AC132" s="52"/>
      <c r="AE132" s="52"/>
      <c r="AF132" s="52"/>
    </row>
    <row r="133" spans="2:32" ht="38.450000000000003" customHeight="1">
      <c r="B133" s="275" t="s">
        <v>42</v>
      </c>
      <c r="C133" s="287" t="s">
        <v>166</v>
      </c>
      <c r="D133" s="206" t="s">
        <v>174</v>
      </c>
      <c r="E133" s="221" t="s">
        <v>158</v>
      </c>
      <c r="F133" s="221" t="s">
        <v>175</v>
      </c>
      <c r="G133" s="279"/>
      <c r="H133" s="93">
        <v>44732</v>
      </c>
      <c r="I133" s="266" t="s">
        <v>484</v>
      </c>
      <c r="J133" s="91" t="s">
        <v>485</v>
      </c>
      <c r="K133" s="276" t="s">
        <v>40</v>
      </c>
      <c r="L133" s="276"/>
      <c r="M133" s="276" t="s">
        <v>309</v>
      </c>
      <c r="N133" s="275"/>
      <c r="O133" s="276"/>
      <c r="P133" s="272" t="s">
        <v>383</v>
      </c>
      <c r="Q133" s="272"/>
      <c r="R133" s="273"/>
      <c r="S133" s="273"/>
      <c r="T133" s="274"/>
      <c r="U133" s="92" t="s">
        <v>46</v>
      </c>
      <c r="V133" s="93" t="str">
        <f t="shared" si="11"/>
        <v/>
      </c>
      <c r="W133" s="92" t="str">
        <f t="shared" ca="1" si="12"/>
        <v/>
      </c>
      <c r="X133" s="92" t="str">
        <f ca="1">IF(SOWS[[#This Row],[Days to Contract End]]&lt;=90,"R",IF(AND(SOWS[[#This Row],[Days to Contract End]]&lt;180),"A","G"))</f>
        <v>G</v>
      </c>
      <c r="Y133" s="235" t="s">
        <v>486</v>
      </c>
      <c r="Z133" s="72"/>
      <c r="AA133" s="51"/>
      <c r="AB133" s="52"/>
      <c r="AC133" s="52"/>
      <c r="AE133" s="52"/>
      <c r="AF133" s="52"/>
    </row>
    <row r="134" spans="2:32" ht="38.450000000000003" customHeight="1">
      <c r="B134" s="275" t="s">
        <v>42</v>
      </c>
      <c r="C134" s="287" t="s">
        <v>166</v>
      </c>
      <c r="D134" s="206" t="s">
        <v>174</v>
      </c>
      <c r="E134" s="221" t="s">
        <v>158</v>
      </c>
      <c r="F134" s="221" t="s">
        <v>175</v>
      </c>
      <c r="G134" s="279"/>
      <c r="H134" s="93">
        <v>44235</v>
      </c>
      <c r="I134" s="266" t="s">
        <v>487</v>
      </c>
      <c r="J134" s="91" t="s">
        <v>485</v>
      </c>
      <c r="K134" s="276" t="s">
        <v>39</v>
      </c>
      <c r="L134" s="276"/>
      <c r="M134" s="276" t="s">
        <v>309</v>
      </c>
      <c r="N134" s="275"/>
      <c r="O134" s="276"/>
      <c r="P134" s="272"/>
      <c r="Q134" s="272"/>
      <c r="R134" s="273"/>
      <c r="S134" s="273"/>
      <c r="T134" s="274"/>
      <c r="U134" s="92">
        <v>25</v>
      </c>
      <c r="V134" s="93">
        <f t="shared" si="11"/>
        <v>44993</v>
      </c>
      <c r="W134" s="92">
        <f t="shared" ca="1" si="12"/>
        <v>-1100</v>
      </c>
      <c r="X134" s="92" t="str">
        <f ca="1">IF(SOWS[[#This Row],[Days to Contract End]]&lt;=90,"R",IF(AND(SOWS[[#This Row],[Days to Contract End]]&lt;180),"A","G"))</f>
        <v>R</v>
      </c>
      <c r="Y134" s="235"/>
      <c r="Z134" s="72"/>
      <c r="AA134" s="51"/>
      <c r="AB134" s="52"/>
      <c r="AC134" s="52"/>
      <c r="AE134" s="52"/>
      <c r="AF134" s="52"/>
    </row>
    <row r="135" spans="2:32" ht="38.450000000000003" customHeight="1">
      <c r="B135" s="275" t="s">
        <v>42</v>
      </c>
      <c r="C135" s="155" t="s">
        <v>166</v>
      </c>
      <c r="D135" s="206" t="s">
        <v>174</v>
      </c>
      <c r="E135" s="221" t="s">
        <v>158</v>
      </c>
      <c r="F135" s="221" t="s">
        <v>175</v>
      </c>
      <c r="G135" s="279">
        <v>45791</v>
      </c>
      <c r="H135" s="93"/>
      <c r="I135" s="266" t="s">
        <v>488</v>
      </c>
      <c r="J135" s="278" t="str">
        <f>IFERROR(VLOOKUP(Agreements!B275,'QB Consolidated Contacts'!$A$1:$F$333,6),"-")</f>
        <v>-</v>
      </c>
      <c r="K135" s="276" t="s">
        <v>39</v>
      </c>
      <c r="L135" s="276" t="s">
        <v>39</v>
      </c>
      <c r="M135" s="276"/>
      <c r="N135" s="275"/>
      <c r="O135" s="276"/>
      <c r="P135" s="272"/>
      <c r="Q135" s="272"/>
      <c r="R135" s="273"/>
      <c r="S135" s="273"/>
      <c r="T135" s="274"/>
      <c r="U135" s="92"/>
      <c r="V135" s="93">
        <f t="shared" si="11"/>
        <v>0</v>
      </c>
      <c r="W135" s="92">
        <f ca="1">IFERROR(Agreements!W275-TODAY(),"")</f>
        <v>-46093</v>
      </c>
      <c r="X135" s="92" t="str">
        <f ca="1">IF(SOWS[[#This Row],[Days to Contract End]]&lt;=90,"R",IF(AND(SOWS[[#This Row],[Days to Contract End]]&lt;180),"A","G"))</f>
        <v>R</v>
      </c>
      <c r="Y135" s="235"/>
      <c r="Z135" s="72"/>
      <c r="AA135" s="51"/>
      <c r="AB135" s="52"/>
      <c r="AC135" s="52"/>
      <c r="AE135" s="52"/>
      <c r="AF135" s="52"/>
    </row>
    <row r="136" spans="2:32" ht="38.450000000000003" customHeight="1">
      <c r="B136" s="275" t="s">
        <v>42</v>
      </c>
      <c r="C136" s="287" t="s">
        <v>489</v>
      </c>
      <c r="D136" s="206" t="s">
        <v>174</v>
      </c>
      <c r="E136" s="221" t="s">
        <v>158</v>
      </c>
      <c r="F136" s="221" t="s">
        <v>175</v>
      </c>
      <c r="G136" s="279"/>
      <c r="H136" s="93">
        <v>45139</v>
      </c>
      <c r="I136" s="266" t="s">
        <v>490</v>
      </c>
      <c r="J136" s="91">
        <f>IFERROR(VLOOKUP(C136,'QB Consolidated Contacts'!$A$1:$F$333,6),"-")</f>
        <v>0</v>
      </c>
      <c r="K136" s="276" t="s">
        <v>39</v>
      </c>
      <c r="L136" s="276" t="s">
        <v>39</v>
      </c>
      <c r="M136" s="276" t="s">
        <v>315</v>
      </c>
      <c r="N136" s="275"/>
      <c r="O136" s="276"/>
      <c r="P136" s="272"/>
      <c r="Q136" s="272"/>
      <c r="R136" s="273"/>
      <c r="S136" s="273"/>
      <c r="T136" s="274" t="s">
        <v>389</v>
      </c>
      <c r="U136" s="92" t="s">
        <v>220</v>
      </c>
      <c r="V136" s="93">
        <v>45657</v>
      </c>
      <c r="W136" s="92">
        <f t="shared" ref="W136:W148" ca="1" si="13">IFERROR(V136-TODAY(),"")</f>
        <v>-436</v>
      </c>
      <c r="X136" s="92" t="str">
        <f ca="1">IF(SOWS[[#This Row],[Days to Contract End]]&lt;=90,"R",IF(AND(SOWS[[#This Row],[Days to Contract End]]&lt;180),"A","G"))</f>
        <v>R</v>
      </c>
      <c r="Y136" s="235"/>
      <c r="AA136" s="72"/>
      <c r="AB136" s="51"/>
      <c r="AC136" s="52"/>
      <c r="AE136" s="52"/>
      <c r="AF136" s="52"/>
    </row>
    <row r="137" spans="2:32" ht="38.450000000000003" customHeight="1">
      <c r="B137" s="275" t="s">
        <v>51</v>
      </c>
      <c r="C137" s="155" t="s">
        <v>171</v>
      </c>
      <c r="D137" s="206" t="s">
        <v>132</v>
      </c>
      <c r="E137" s="221" t="s">
        <v>158</v>
      </c>
      <c r="F137" s="221" t="s">
        <v>175</v>
      </c>
      <c r="G137" s="279"/>
      <c r="H137" s="93">
        <v>44767</v>
      </c>
      <c r="I137" s="266" t="s">
        <v>377</v>
      </c>
      <c r="J137" s="91">
        <f>IFERROR(VLOOKUP(C137,'QB Consolidated Contacts'!$A$1:$F$333,6),"-")</f>
        <v>0</v>
      </c>
      <c r="K137" s="276" t="s">
        <v>39</v>
      </c>
      <c r="L137" s="276"/>
      <c r="M137" s="276" t="s">
        <v>309</v>
      </c>
      <c r="N137" s="275" t="s">
        <v>39</v>
      </c>
      <c r="O137" s="276"/>
      <c r="P137" s="272" t="s">
        <v>383</v>
      </c>
      <c r="Q137" s="272"/>
      <c r="R137" s="273"/>
      <c r="S137" s="273">
        <v>75000</v>
      </c>
      <c r="T137" s="274">
        <v>424</v>
      </c>
      <c r="U137" s="92" t="s">
        <v>282</v>
      </c>
      <c r="V137" s="93" t="str">
        <f t="shared" ref="V137:V152" si="14">IFERROR(EDATE(H137,U137),"")</f>
        <v/>
      </c>
      <c r="W137" s="92" t="str">
        <f t="shared" ca="1" si="13"/>
        <v/>
      </c>
      <c r="X137" s="92" t="str">
        <f ca="1">IF(SOWS[[#This Row],[Days to Contract End]]&lt;=90,"R",IF(AND(SOWS[[#This Row],[Days to Contract End]]&lt;180),"A","G"))</f>
        <v>G</v>
      </c>
      <c r="Y137" s="235" t="s">
        <v>491</v>
      </c>
      <c r="AA137" s="72"/>
      <c r="AB137" s="51"/>
      <c r="AC137" s="52"/>
      <c r="AE137" s="52"/>
      <c r="AF137" s="52"/>
    </row>
    <row r="138" spans="2:32" ht="38.450000000000003" customHeight="1">
      <c r="B138" s="275" t="s">
        <v>42</v>
      </c>
      <c r="C138" s="155" t="s">
        <v>172</v>
      </c>
      <c r="D138" s="206" t="s">
        <v>174</v>
      </c>
      <c r="E138" s="221" t="s">
        <v>158</v>
      </c>
      <c r="F138" s="221" t="s">
        <v>175</v>
      </c>
      <c r="G138" s="279"/>
      <c r="H138" s="93">
        <v>43565</v>
      </c>
      <c r="I138" s="267" t="s">
        <v>492</v>
      </c>
      <c r="J138" s="91">
        <f>IFERROR(VLOOKUP(C138,'QB Consolidated Contacts'!$A$1:$F$333,6),"-")</f>
        <v>0</v>
      </c>
      <c r="K138" s="276" t="s">
        <v>40</v>
      </c>
      <c r="L138" s="276"/>
      <c r="M138" s="276" t="s">
        <v>309</v>
      </c>
      <c r="N138" s="275"/>
      <c r="O138" s="276"/>
      <c r="P138" s="272" t="s">
        <v>383</v>
      </c>
      <c r="Q138" s="272"/>
      <c r="R138" s="273"/>
      <c r="S138" s="273"/>
      <c r="T138" s="274"/>
      <c r="U138" s="92" t="s">
        <v>46</v>
      </c>
      <c r="V138" s="93" t="str">
        <f t="shared" si="14"/>
        <v/>
      </c>
      <c r="W138" s="92" t="str">
        <f t="shared" ca="1" si="13"/>
        <v/>
      </c>
      <c r="X138" s="92" t="str">
        <f ca="1">IF(SOWS[[#This Row],[Days to Contract End]]&lt;=90,"R",IF(AND(SOWS[[#This Row],[Days to Contract End]]&lt;180),"A","G"))</f>
        <v>G</v>
      </c>
      <c r="Y138" s="235" t="s">
        <v>493</v>
      </c>
      <c r="AA138" s="72"/>
      <c r="AB138" s="51"/>
      <c r="AC138" s="52"/>
      <c r="AE138" s="52"/>
      <c r="AF138" s="52"/>
    </row>
    <row r="139" spans="2:32" ht="38.450000000000003" customHeight="1">
      <c r="B139" s="275" t="s">
        <v>42</v>
      </c>
      <c r="C139" s="155" t="s">
        <v>172</v>
      </c>
      <c r="D139" s="206" t="s">
        <v>132</v>
      </c>
      <c r="E139" s="221" t="s">
        <v>158</v>
      </c>
      <c r="F139" s="221" t="s">
        <v>175</v>
      </c>
      <c r="G139" s="279"/>
      <c r="H139" s="93">
        <v>43240</v>
      </c>
      <c r="I139" s="267" t="s">
        <v>494</v>
      </c>
      <c r="J139" s="91">
        <f>IFERROR(VLOOKUP(C139,'QB Consolidated Contacts'!$A$1:$F$333,6),"-")</f>
        <v>0</v>
      </c>
      <c r="K139" s="276" t="s">
        <v>39</v>
      </c>
      <c r="L139" s="276"/>
      <c r="M139" s="276" t="s">
        <v>309</v>
      </c>
      <c r="N139" s="275"/>
      <c r="O139" s="276"/>
      <c r="P139" s="272" t="s">
        <v>441</v>
      </c>
      <c r="Q139" s="272"/>
      <c r="R139" s="273"/>
      <c r="S139" s="273"/>
      <c r="T139" s="274"/>
      <c r="U139" s="92" t="s">
        <v>46</v>
      </c>
      <c r="V139" s="93" t="str">
        <f t="shared" si="14"/>
        <v/>
      </c>
      <c r="W139" s="92" t="str">
        <f t="shared" ca="1" si="13"/>
        <v/>
      </c>
      <c r="X139" s="92" t="str">
        <f ca="1">IF(SOWS[[#This Row],[Days to Contract End]]&lt;=90,"R",IF(AND(SOWS[[#This Row],[Days to Contract End]]&lt;180),"A","G"))</f>
        <v>G</v>
      </c>
      <c r="Y139" s="235" t="s">
        <v>495</v>
      </c>
      <c r="AA139" s="72"/>
      <c r="AB139" s="51"/>
      <c r="AC139" s="52"/>
      <c r="AE139" s="52"/>
      <c r="AF139" s="52"/>
    </row>
    <row r="140" spans="2:32" ht="38.450000000000003" customHeight="1">
      <c r="B140" s="275" t="s">
        <v>42</v>
      </c>
      <c r="C140" s="155" t="s">
        <v>496</v>
      </c>
      <c r="D140" s="206" t="s">
        <v>132</v>
      </c>
      <c r="E140" s="221" t="s">
        <v>158</v>
      </c>
      <c r="F140" s="221" t="s">
        <v>175</v>
      </c>
      <c r="G140" s="279"/>
      <c r="H140" s="93">
        <v>44805</v>
      </c>
      <c r="I140" s="267" t="s">
        <v>497</v>
      </c>
      <c r="J140" s="91">
        <f>IFERROR(VLOOKUP(C140,'QB Consolidated Contacts'!$A$1:$F$333,6),"-")</f>
        <v>0</v>
      </c>
      <c r="K140" s="276" t="s">
        <v>39</v>
      </c>
      <c r="L140" s="276"/>
      <c r="M140" s="276" t="s">
        <v>315</v>
      </c>
      <c r="N140" s="275" t="s">
        <v>39</v>
      </c>
      <c r="O140" s="288">
        <v>4000207399</v>
      </c>
      <c r="P140" s="272" t="s">
        <v>498</v>
      </c>
      <c r="Q140" s="272"/>
      <c r="R140" s="273"/>
      <c r="S140" s="273">
        <v>10500</v>
      </c>
      <c r="T140" s="274"/>
      <c r="U140" s="92" t="s">
        <v>46</v>
      </c>
      <c r="V140" s="93" t="str">
        <f t="shared" si="14"/>
        <v/>
      </c>
      <c r="W140" s="92" t="str">
        <f t="shared" ca="1" si="13"/>
        <v/>
      </c>
      <c r="X140" s="92" t="str">
        <f ca="1">IF(SOWS[[#This Row],[Days to Contract End]]&lt;=90,"R",IF(AND(SOWS[[#This Row],[Days to Contract End]]&lt;180),"A","G"))</f>
        <v>G</v>
      </c>
      <c r="Y140" s="235"/>
      <c r="AA140" s="72"/>
      <c r="AB140" s="51"/>
      <c r="AC140" s="52"/>
      <c r="AE140" s="52"/>
      <c r="AF140" s="52"/>
    </row>
    <row r="141" spans="2:32" ht="38.450000000000003" customHeight="1">
      <c r="B141" s="275" t="s">
        <v>42</v>
      </c>
      <c r="C141" s="155" t="s">
        <v>178</v>
      </c>
      <c r="D141" s="206" t="s">
        <v>132</v>
      </c>
      <c r="E141" s="221" t="s">
        <v>320</v>
      </c>
      <c r="F141" s="221" t="s">
        <v>288</v>
      </c>
      <c r="G141" s="279">
        <v>45091</v>
      </c>
      <c r="H141" s="93">
        <v>45068</v>
      </c>
      <c r="I141" s="280" t="s">
        <v>499</v>
      </c>
      <c r="J141" s="91">
        <f>IFERROR(VLOOKUP(C141,'QB Consolidated Contacts'!$A$1:$F$333,6),"-")</f>
        <v>0</v>
      </c>
      <c r="K141" s="276" t="s">
        <v>39</v>
      </c>
      <c r="L141" s="276" t="s">
        <v>39</v>
      </c>
      <c r="M141" s="276" t="s">
        <v>315</v>
      </c>
      <c r="N141" s="275"/>
      <c r="O141" s="276"/>
      <c r="P141" s="272"/>
      <c r="Q141" s="272"/>
      <c r="R141" s="273"/>
      <c r="S141" s="273"/>
      <c r="T141" s="274" t="s">
        <v>500</v>
      </c>
      <c r="U141" s="92"/>
      <c r="V141" s="93">
        <f t="shared" si="14"/>
        <v>45068</v>
      </c>
      <c r="W141" s="92">
        <f t="shared" ca="1" si="13"/>
        <v>-1025</v>
      </c>
      <c r="X141" s="92" t="str">
        <f ca="1">IF(SOWS[[#This Row],[Days to Contract End]]&lt;=90,"R",IF(AND(SOWS[[#This Row],[Days to Contract End]]&lt;180),"A","G"))</f>
        <v>R</v>
      </c>
      <c r="Y141" s="235"/>
      <c r="AA141" s="72"/>
      <c r="AB141" s="51"/>
      <c r="AC141" s="52"/>
      <c r="AE141" s="52"/>
      <c r="AF141" s="52"/>
    </row>
    <row r="142" spans="2:32" ht="38.450000000000003" customHeight="1">
      <c r="B142" s="275" t="s">
        <v>51</v>
      </c>
      <c r="C142" s="155" t="s">
        <v>178</v>
      </c>
      <c r="D142" s="206" t="s">
        <v>132</v>
      </c>
      <c r="E142" s="221" t="s">
        <v>320</v>
      </c>
      <c r="F142" s="221" t="s">
        <v>288</v>
      </c>
      <c r="G142" s="279"/>
      <c r="H142" s="93">
        <v>45091</v>
      </c>
      <c r="I142" s="268" t="s">
        <v>501</v>
      </c>
      <c r="J142" s="91">
        <f>IFERROR(VLOOKUP(C142,'QB Consolidated Contacts'!$A$1:$F$333,6),"-")</f>
        <v>0</v>
      </c>
      <c r="K142" s="276" t="s">
        <v>39</v>
      </c>
      <c r="L142" s="276" t="s">
        <v>39</v>
      </c>
      <c r="M142" s="276" t="s">
        <v>315</v>
      </c>
      <c r="N142" s="275"/>
      <c r="O142" s="276"/>
      <c r="P142" s="272"/>
      <c r="Q142" s="272"/>
      <c r="R142" s="273"/>
      <c r="S142" s="273"/>
      <c r="T142" s="274"/>
      <c r="U142" s="92"/>
      <c r="V142" s="93">
        <f t="shared" si="14"/>
        <v>45091</v>
      </c>
      <c r="W142" s="92">
        <f t="shared" ca="1" si="13"/>
        <v>-1002</v>
      </c>
      <c r="X142" s="92" t="str">
        <f ca="1">IF(SOWS[[#This Row],[Days to Contract End]]&lt;=90,"R",IF(AND(SOWS[[#This Row],[Days to Contract End]]&lt;180),"A","G"))</f>
        <v>R</v>
      </c>
      <c r="Y142" s="235" t="s">
        <v>502</v>
      </c>
      <c r="AA142" s="72"/>
      <c r="AB142" s="51"/>
      <c r="AC142" s="52"/>
      <c r="AE142" s="52"/>
      <c r="AF142" s="52"/>
    </row>
    <row r="143" spans="2:32" ht="38.450000000000003" customHeight="1">
      <c r="B143" s="275" t="s">
        <v>51</v>
      </c>
      <c r="C143" s="155" t="s">
        <v>178</v>
      </c>
      <c r="D143" s="206" t="s">
        <v>132</v>
      </c>
      <c r="E143" s="221" t="s">
        <v>158</v>
      </c>
      <c r="F143" s="221" t="s">
        <v>288</v>
      </c>
      <c r="G143" s="279"/>
      <c r="H143" s="93">
        <v>44986</v>
      </c>
      <c r="I143" s="280" t="s">
        <v>503</v>
      </c>
      <c r="J143" s="91">
        <f>IFERROR(VLOOKUP(C143,'QB Consolidated Contacts'!$A$1:$F$333,6),"-")</f>
        <v>0</v>
      </c>
      <c r="K143" s="276" t="s">
        <v>39</v>
      </c>
      <c r="L143" s="276"/>
      <c r="M143" s="276" t="s">
        <v>315</v>
      </c>
      <c r="N143" s="275" t="s">
        <v>40</v>
      </c>
      <c r="O143" s="276" t="s">
        <v>504</v>
      </c>
      <c r="P143" s="272" t="s">
        <v>290</v>
      </c>
      <c r="Q143" s="272"/>
      <c r="R143" s="273">
        <v>4210</v>
      </c>
      <c r="S143" s="273">
        <f>SOWS[[#This Row],[Monthly Budget]]*12</f>
        <v>50520</v>
      </c>
      <c r="T143" s="274" t="s">
        <v>505</v>
      </c>
      <c r="U143" s="92">
        <v>12</v>
      </c>
      <c r="V143" s="93">
        <f t="shared" si="14"/>
        <v>45352</v>
      </c>
      <c r="W143" s="92">
        <f t="shared" ca="1" si="13"/>
        <v>-741</v>
      </c>
      <c r="X143" s="92" t="str">
        <f ca="1">IF(SOWS[[#This Row],[Days to Contract End]]&lt;=90,"R",IF(AND(SOWS[[#This Row],[Days to Contract End]]&lt;180),"A","G"))</f>
        <v>R</v>
      </c>
      <c r="Y143" s="235"/>
      <c r="AA143" s="72"/>
      <c r="AB143" s="51"/>
      <c r="AC143" s="52"/>
      <c r="AE143" s="52"/>
      <c r="AF143" s="52"/>
    </row>
    <row r="144" spans="2:32" ht="38.450000000000003" customHeight="1">
      <c r="B144" s="275" t="s">
        <v>42</v>
      </c>
      <c r="C144" s="155" t="s">
        <v>178</v>
      </c>
      <c r="D144" s="206" t="s">
        <v>174</v>
      </c>
      <c r="E144" s="221" t="s">
        <v>158</v>
      </c>
      <c r="F144" s="221" t="s">
        <v>175</v>
      </c>
      <c r="G144" s="279"/>
      <c r="H144" s="93">
        <v>44701</v>
      </c>
      <c r="I144" s="267" t="s">
        <v>506</v>
      </c>
      <c r="J144" s="91">
        <f>IFERROR(VLOOKUP(C144,'QB Consolidated Contacts'!$A$1:$F$333,6),"-")</f>
        <v>0</v>
      </c>
      <c r="K144" s="276" t="s">
        <v>39</v>
      </c>
      <c r="L144" s="276"/>
      <c r="M144" s="276" t="s">
        <v>309</v>
      </c>
      <c r="N144" s="275"/>
      <c r="O144" s="276"/>
      <c r="P144" s="272"/>
      <c r="Q144" s="272"/>
      <c r="R144" s="273"/>
      <c r="S144" s="273"/>
      <c r="T144" s="274">
        <v>440</v>
      </c>
      <c r="U144" s="92" t="s">
        <v>282</v>
      </c>
      <c r="V144" s="93" t="str">
        <f t="shared" si="14"/>
        <v/>
      </c>
      <c r="W144" s="92" t="str">
        <f t="shared" ca="1" si="13"/>
        <v/>
      </c>
      <c r="X144" s="92" t="str">
        <f ca="1">IF(SOWS[[#This Row],[Days to Contract End]]&lt;=90,"R",IF(AND(SOWS[[#This Row],[Days to Contract End]]&lt;180),"A","G"))</f>
        <v>G</v>
      </c>
      <c r="Y144" s="235"/>
      <c r="AA144" s="72"/>
      <c r="AB144" s="51"/>
      <c r="AC144" s="52"/>
      <c r="AE144" s="52"/>
      <c r="AF144" s="52"/>
    </row>
    <row r="145" spans="2:32" ht="38.450000000000003" customHeight="1">
      <c r="B145" s="275" t="s">
        <v>51</v>
      </c>
      <c r="C145" s="155" t="s">
        <v>183</v>
      </c>
      <c r="D145" s="206" t="s">
        <v>132</v>
      </c>
      <c r="E145" s="221" t="s">
        <v>158</v>
      </c>
      <c r="F145" s="221" t="s">
        <v>175</v>
      </c>
      <c r="G145" s="279"/>
      <c r="H145" s="93">
        <v>45306</v>
      </c>
      <c r="I145" s="243" t="s">
        <v>507</v>
      </c>
      <c r="J145" s="278" t="s">
        <v>144</v>
      </c>
      <c r="K145" s="276" t="s">
        <v>39</v>
      </c>
      <c r="L145" s="276" t="s">
        <v>39</v>
      </c>
      <c r="M145" s="276" t="s">
        <v>315</v>
      </c>
      <c r="N145" s="275"/>
      <c r="O145" s="276"/>
      <c r="P145" s="272"/>
      <c r="Q145" s="272"/>
      <c r="R145" s="273"/>
      <c r="S145" s="273"/>
      <c r="T145" s="274"/>
      <c r="U145" s="92" t="s">
        <v>220</v>
      </c>
      <c r="V145" s="93" t="str">
        <f t="shared" si="14"/>
        <v/>
      </c>
      <c r="W145" s="92" t="str">
        <f t="shared" ca="1" si="13"/>
        <v/>
      </c>
      <c r="X145" s="92" t="str">
        <f ca="1">IF(SOWS[[#This Row],[Days to Contract End]]&lt;=90,"R",IF(AND(SOWS[[#This Row],[Days to Contract End]]&lt;180),"A","G"))</f>
        <v>G</v>
      </c>
      <c r="Y145" s="235"/>
      <c r="AA145" s="72"/>
      <c r="AB145" s="51"/>
      <c r="AC145" s="52"/>
      <c r="AE145" s="52"/>
      <c r="AF145" s="52"/>
    </row>
    <row r="146" spans="2:32" ht="38.450000000000003" customHeight="1">
      <c r="B146" s="275" t="s">
        <v>42</v>
      </c>
      <c r="C146" s="155" t="s">
        <v>188</v>
      </c>
      <c r="D146" s="206" t="s">
        <v>132</v>
      </c>
      <c r="E146" s="221" t="s">
        <v>158</v>
      </c>
      <c r="F146" s="221" t="s">
        <v>295</v>
      </c>
      <c r="G146" s="279"/>
      <c r="H146" s="93">
        <v>44834</v>
      </c>
      <c r="I146" s="267" t="s">
        <v>125</v>
      </c>
      <c r="J146" s="91">
        <f>IFERROR(VLOOKUP(C146,'QB Consolidated Contacts'!$A$1:$F$333,6),"-")</f>
        <v>0</v>
      </c>
      <c r="K146" s="276" t="s">
        <v>39</v>
      </c>
      <c r="L146" s="276"/>
      <c r="M146" s="276" t="s">
        <v>309</v>
      </c>
      <c r="N146" s="275"/>
      <c r="O146" s="276"/>
      <c r="P146" s="272" t="s">
        <v>290</v>
      </c>
      <c r="Q146" s="272"/>
      <c r="R146" s="273"/>
      <c r="S146" s="273"/>
      <c r="T146" s="274">
        <f>36+4+8+4+6</f>
        <v>58</v>
      </c>
      <c r="U146" s="322" t="s">
        <v>46</v>
      </c>
      <c r="V146" s="93" t="str">
        <f t="shared" si="14"/>
        <v/>
      </c>
      <c r="W146" s="92" t="str">
        <f t="shared" ca="1" si="13"/>
        <v/>
      </c>
      <c r="X146" s="92" t="str">
        <f ca="1">IF(SOWS[[#This Row],[Days to Contract End]]&lt;=90,"R",IF(AND(SOWS[[#This Row],[Days to Contract End]]&lt;180),"A","G"))</f>
        <v>G</v>
      </c>
      <c r="Y146" s="235"/>
      <c r="AA146" s="72"/>
      <c r="AB146" s="51"/>
      <c r="AC146" s="52"/>
      <c r="AE146" s="52"/>
      <c r="AF146" s="52"/>
    </row>
    <row r="147" spans="2:32" ht="38.450000000000003" customHeight="1">
      <c r="B147" s="275" t="s">
        <v>51</v>
      </c>
      <c r="C147" s="155" t="s">
        <v>189</v>
      </c>
      <c r="D147" s="206"/>
      <c r="E147" s="221"/>
      <c r="F147" s="221" t="s">
        <v>108</v>
      </c>
      <c r="G147" s="279"/>
      <c r="H147" s="93"/>
      <c r="I147" s="268"/>
      <c r="J147" s="91">
        <f>IFERROR(VLOOKUP(C147,'QB Consolidated Contacts'!$A$1:$F$333,6),"-")</f>
        <v>0</v>
      </c>
      <c r="K147" s="276" t="s">
        <v>40</v>
      </c>
      <c r="L147" s="276"/>
      <c r="M147" s="276" t="s">
        <v>309</v>
      </c>
      <c r="N147" s="275"/>
      <c r="O147" s="276"/>
      <c r="P147" s="272"/>
      <c r="Q147" s="272"/>
      <c r="R147" s="273"/>
      <c r="S147" s="273"/>
      <c r="T147" s="274"/>
      <c r="U147" s="92"/>
      <c r="V147" s="93">
        <f t="shared" si="14"/>
        <v>0</v>
      </c>
      <c r="W147" s="92">
        <f t="shared" ca="1" si="13"/>
        <v>-46093</v>
      </c>
      <c r="X147" s="92" t="str">
        <f ca="1">IF(SOWS[[#This Row],[Days to Contract End]]&lt;=90,"R",IF(AND(SOWS[[#This Row],[Days to Contract End]]&lt;180),"A","G"))</f>
        <v>R</v>
      </c>
      <c r="Y147" s="235"/>
      <c r="AA147" s="72"/>
      <c r="AB147" s="51"/>
      <c r="AC147" s="52"/>
      <c r="AE147" s="52"/>
      <c r="AF147" s="52"/>
    </row>
    <row r="148" spans="2:32" ht="38.450000000000003" customHeight="1">
      <c r="B148" s="275"/>
      <c r="C148" s="155" t="s">
        <v>192</v>
      </c>
      <c r="D148" s="206"/>
      <c r="E148" s="221"/>
      <c r="F148" s="221" t="s">
        <v>108</v>
      </c>
      <c r="G148" s="279"/>
      <c r="H148" s="93"/>
      <c r="I148" s="286" t="s">
        <v>193</v>
      </c>
      <c r="J148" s="91">
        <f>IFERROR(VLOOKUP(C148,'QB Consolidated Contacts'!$A$1:$F$333,6),"-")</f>
        <v>0</v>
      </c>
      <c r="K148" s="276" t="s">
        <v>40</v>
      </c>
      <c r="L148" s="276"/>
      <c r="M148" s="276" t="s">
        <v>315</v>
      </c>
      <c r="N148" s="275"/>
      <c r="O148" s="276"/>
      <c r="P148" s="272" t="s">
        <v>290</v>
      </c>
      <c r="Q148" s="272"/>
      <c r="R148" s="273"/>
      <c r="S148" s="273"/>
      <c r="T148" s="274"/>
      <c r="U148" s="92"/>
      <c r="V148" s="93">
        <f t="shared" si="14"/>
        <v>0</v>
      </c>
      <c r="W148" s="92">
        <f t="shared" ca="1" si="13"/>
        <v>-46093</v>
      </c>
      <c r="X148" s="92" t="str">
        <f ca="1">IF(SOWS[[#This Row],[Days to Contract End]]&lt;=90,"R",IF(AND(SOWS[[#This Row],[Days to Contract End]]&lt;180),"A","G"))</f>
        <v>R</v>
      </c>
      <c r="Y148" s="235" t="s">
        <v>194</v>
      </c>
      <c r="AA148" s="72"/>
      <c r="AB148" s="51"/>
      <c r="AC148" s="52"/>
      <c r="AE148" s="52"/>
      <c r="AF148" s="52"/>
    </row>
    <row r="149" spans="2:32" ht="38.450000000000003" customHeight="1">
      <c r="B149" s="275" t="s">
        <v>42</v>
      </c>
      <c r="C149" s="155" t="s">
        <v>195</v>
      </c>
      <c r="D149" s="206" t="s">
        <v>132</v>
      </c>
      <c r="E149" s="221" t="s">
        <v>158</v>
      </c>
      <c r="F149" s="221" t="s">
        <v>295</v>
      </c>
      <c r="G149" s="279">
        <v>45583</v>
      </c>
      <c r="H149" s="93">
        <v>45586</v>
      </c>
      <c r="I149" s="266" t="s">
        <v>508</v>
      </c>
      <c r="J149" s="285" t="str">
        <f>IFERROR(VLOOKUP(Agreements!B254,'QB Consolidated Contacts'!$A$1:$F$333,6),"-")</f>
        <v>-</v>
      </c>
      <c r="K149" s="276" t="s">
        <v>39</v>
      </c>
      <c r="L149" s="276" t="s">
        <v>39</v>
      </c>
      <c r="M149" s="276"/>
      <c r="N149" s="275"/>
      <c r="O149" s="276"/>
      <c r="P149" s="272"/>
      <c r="Q149" s="272"/>
      <c r="R149" s="273"/>
      <c r="S149" s="273"/>
      <c r="T149" s="274"/>
      <c r="U149" s="92"/>
      <c r="V149" s="93">
        <f t="shared" si="14"/>
        <v>45586</v>
      </c>
      <c r="W149" s="92">
        <f ca="1">IFERROR(Agreements!W254-TODAY(),"")</f>
        <v>-46093</v>
      </c>
      <c r="X149" s="92" t="str">
        <f ca="1">IF(SOWS[[#This Row],[Days to Contract End]]&lt;=90,"R",IF(AND(SOWS[[#This Row],[Days to Contract End]]&lt;180),"A","G"))</f>
        <v>R</v>
      </c>
      <c r="Y149" s="235"/>
      <c r="AA149" s="72"/>
      <c r="AB149" s="51"/>
      <c r="AC149" s="52"/>
      <c r="AE149" s="52"/>
      <c r="AF149" s="52"/>
    </row>
    <row r="150" spans="2:32" ht="38.450000000000003" customHeight="1">
      <c r="B150" s="275" t="s">
        <v>42</v>
      </c>
      <c r="C150" s="155" t="s">
        <v>195</v>
      </c>
      <c r="D150" s="206" t="s">
        <v>132</v>
      </c>
      <c r="E150" s="221" t="s">
        <v>158</v>
      </c>
      <c r="F150" s="221" t="s">
        <v>295</v>
      </c>
      <c r="G150" s="279">
        <v>44993</v>
      </c>
      <c r="H150" s="93">
        <v>44988</v>
      </c>
      <c r="I150" s="266" t="s">
        <v>509</v>
      </c>
      <c r="J150" s="91">
        <f>IFERROR(VLOOKUP(C150,'QB Consolidated Contacts'!$A$1:$F$333,6),"-")</f>
        <v>0</v>
      </c>
      <c r="K150" s="276" t="s">
        <v>39</v>
      </c>
      <c r="L150" s="276" t="s">
        <v>39</v>
      </c>
      <c r="M150" s="276" t="s">
        <v>315</v>
      </c>
      <c r="N150" s="275"/>
      <c r="O150" s="276"/>
      <c r="P150" s="272"/>
      <c r="Q150" s="272"/>
      <c r="R150" s="273"/>
      <c r="S150" s="273"/>
      <c r="T150" s="274">
        <v>404</v>
      </c>
      <c r="U150" s="92" t="s">
        <v>282</v>
      </c>
      <c r="V150" s="93" t="str">
        <f t="shared" si="14"/>
        <v/>
      </c>
      <c r="W150" s="92" t="str">
        <f ca="1">IFERROR(V150-TODAY(),"")</f>
        <v/>
      </c>
      <c r="X150" s="92" t="str">
        <f ca="1">IF(SOWS[[#This Row],[Days to Contract End]]&lt;=90,"R",IF(AND(SOWS[[#This Row],[Days to Contract End]]&lt;180),"A","G"))</f>
        <v>G</v>
      </c>
      <c r="Y150" s="235"/>
      <c r="AA150" s="72"/>
      <c r="AB150" s="51"/>
      <c r="AC150" s="52"/>
      <c r="AE150" s="52"/>
      <c r="AF150" s="52"/>
    </row>
    <row r="151" spans="2:32" ht="38.450000000000003" customHeight="1">
      <c r="B151" s="275" t="s">
        <v>42</v>
      </c>
      <c r="C151" s="155" t="s">
        <v>195</v>
      </c>
      <c r="D151" s="206" t="s">
        <v>132</v>
      </c>
      <c r="E151" s="221" t="s">
        <v>320</v>
      </c>
      <c r="F151" s="221" t="s">
        <v>295</v>
      </c>
      <c r="G151" s="279">
        <v>45770</v>
      </c>
      <c r="H151" s="93"/>
      <c r="I151" s="293" t="s">
        <v>510</v>
      </c>
      <c r="J151" s="278" t="str">
        <f>IFERROR(VLOOKUP(Agreements!B308,'QB Consolidated Contacts'!$A$1:$F$333,6),"-")</f>
        <v>-</v>
      </c>
      <c r="K151" s="276" t="s">
        <v>39</v>
      </c>
      <c r="L151" s="276" t="s">
        <v>39</v>
      </c>
      <c r="M151" s="276"/>
      <c r="N151" s="275"/>
      <c r="O151" s="276"/>
      <c r="P151" s="272"/>
      <c r="Q151" s="272"/>
      <c r="R151" s="273"/>
      <c r="S151" s="273"/>
      <c r="T151" s="274"/>
      <c r="U151" s="92"/>
      <c r="V151" s="93">
        <f t="shared" si="14"/>
        <v>0</v>
      </c>
      <c r="W151" s="92">
        <f ca="1">IFERROR(Agreements!V308-TODAY(),"")</f>
        <v>-46093</v>
      </c>
      <c r="X151" s="92" t="str">
        <f ca="1">IF(SOWS[[#This Row],[Days to Contract End]]&lt;=90,"R",IF(AND(SOWS[[#This Row],[Days to Contract End]]&lt;180),"A","G"))</f>
        <v>R</v>
      </c>
      <c r="Y151" s="235"/>
      <c r="AA151" s="72"/>
      <c r="AB151" s="51"/>
      <c r="AC151" s="52"/>
      <c r="AE151" s="52"/>
      <c r="AF151" s="52"/>
    </row>
    <row r="152" spans="2:32" ht="38.450000000000003" customHeight="1">
      <c r="B152" s="275" t="s">
        <v>42</v>
      </c>
      <c r="C152" s="155" t="s">
        <v>198</v>
      </c>
      <c r="D152" s="206" t="s">
        <v>174</v>
      </c>
      <c r="E152" s="221" t="s">
        <v>158</v>
      </c>
      <c r="F152" s="221" t="s">
        <v>175</v>
      </c>
      <c r="G152" s="279"/>
      <c r="H152" s="93">
        <v>45626</v>
      </c>
      <c r="I152" s="280" t="s">
        <v>511</v>
      </c>
      <c r="J152" s="91" t="str">
        <f>IFERROR(VLOOKUP(Agreements!B244,'QB Consolidated Contacts'!$A$1:$F$333,6),"-")</f>
        <v>-</v>
      </c>
      <c r="K152" s="276" t="s">
        <v>39</v>
      </c>
      <c r="L152" s="276" t="s">
        <v>39</v>
      </c>
      <c r="M152" s="276"/>
      <c r="N152" s="275"/>
      <c r="O152" s="276"/>
      <c r="P152" s="272"/>
      <c r="Q152" s="272"/>
      <c r="R152" s="273"/>
      <c r="S152" s="273"/>
      <c r="T152" s="274"/>
      <c r="U152" s="92"/>
      <c r="V152" s="93">
        <f t="shared" si="14"/>
        <v>45626</v>
      </c>
      <c r="W152" s="92">
        <f ca="1">IFERROR(Agreements!W244-TODAY(),"")</f>
        <v>-46093</v>
      </c>
      <c r="X152" s="92" t="str">
        <f ca="1">IF(SOWS[[#This Row],[Days to Contract End]]&lt;=90,"R",IF(AND(SOWS[[#This Row],[Days to Contract End]]&lt;180),"A","G"))</f>
        <v>R</v>
      </c>
      <c r="Y152" s="235"/>
      <c r="AA152" s="72"/>
      <c r="AB152" s="51"/>
      <c r="AC152" s="52"/>
      <c r="AE152" s="52"/>
      <c r="AF152" s="52"/>
    </row>
    <row r="153" spans="2:32" ht="38.450000000000003" customHeight="1">
      <c r="B153" s="275" t="s">
        <v>42</v>
      </c>
      <c r="C153" s="155" t="s">
        <v>198</v>
      </c>
      <c r="D153" s="206" t="s">
        <v>174</v>
      </c>
      <c r="E153" s="289" t="s">
        <v>158</v>
      </c>
      <c r="F153" s="221" t="s">
        <v>175</v>
      </c>
      <c r="G153" s="279"/>
      <c r="H153" s="93">
        <v>44206</v>
      </c>
      <c r="I153" s="266" t="s">
        <v>512</v>
      </c>
      <c r="J153" s="91">
        <f>IFERROR(VLOOKUP(C153,'QB Consolidated Contacts'!$A$1:$F$333,6),"-")</f>
        <v>0</v>
      </c>
      <c r="K153" s="276" t="s">
        <v>39</v>
      </c>
      <c r="L153" s="276"/>
      <c r="M153" s="276" t="s">
        <v>317</v>
      </c>
      <c r="N153" s="275"/>
      <c r="O153" s="276"/>
      <c r="P153" s="272" t="s">
        <v>290</v>
      </c>
      <c r="Q153" s="272"/>
      <c r="R153" s="273"/>
      <c r="S153" s="273"/>
      <c r="T153" s="274">
        <v>20</v>
      </c>
      <c r="U153" s="92">
        <v>1</v>
      </c>
      <c r="V153" s="93">
        <v>44247</v>
      </c>
      <c r="W153" s="92">
        <f ca="1">IFERROR(V153-TODAY(),"")</f>
        <v>-1846</v>
      </c>
      <c r="X153" s="92" t="str">
        <f ca="1">IF(SOWS[[#This Row],[Days to Contract End]]&lt;=90,"R",IF(AND(SOWS[[#This Row],[Days to Contract End]]&lt;180),"A","G"))</f>
        <v>R</v>
      </c>
      <c r="Y153" s="235"/>
      <c r="AA153" s="72"/>
      <c r="AB153" s="51"/>
      <c r="AC153" s="52"/>
      <c r="AE153" s="52"/>
      <c r="AF153" s="52"/>
    </row>
    <row r="154" spans="2:32" ht="38.450000000000003" customHeight="1">
      <c r="B154" s="275" t="s">
        <v>42</v>
      </c>
      <c r="C154" s="155" t="s">
        <v>199</v>
      </c>
      <c r="D154" s="206" t="s">
        <v>174</v>
      </c>
      <c r="E154" s="289" t="s">
        <v>158</v>
      </c>
      <c r="F154" s="221" t="s">
        <v>175</v>
      </c>
      <c r="G154" s="279">
        <v>45264</v>
      </c>
      <c r="H154" s="93">
        <v>45246</v>
      </c>
      <c r="I154" s="266" t="s">
        <v>200</v>
      </c>
      <c r="J154" s="290" t="s">
        <v>513</v>
      </c>
      <c r="K154" s="276" t="s">
        <v>39</v>
      </c>
      <c r="L154" s="276" t="s">
        <v>40</v>
      </c>
      <c r="M154" s="276"/>
      <c r="N154" s="275"/>
      <c r="O154" s="276"/>
      <c r="P154" s="272"/>
      <c r="Q154" s="272"/>
      <c r="R154" s="273"/>
      <c r="S154" s="273"/>
      <c r="T154" s="274"/>
      <c r="U154" s="92">
        <v>1</v>
      </c>
      <c r="V154" s="93">
        <f>IFERROR(EDATE(H154,U154),"")</f>
        <v>45276</v>
      </c>
      <c r="W154" s="92">
        <f ca="1">IFERROR(V154-TODAY(),"")</f>
        <v>-817</v>
      </c>
      <c r="X154" s="92" t="str">
        <f ca="1">IF(SOWS[[#This Row],[Days to Contract End]]&lt;=90,"R",IF(AND(SOWS[[#This Row],[Days to Contract End]]&lt;180),"A","G"))</f>
        <v>R</v>
      </c>
      <c r="Y154" s="235"/>
      <c r="AA154" s="72"/>
      <c r="AB154" s="51"/>
      <c r="AC154" s="52"/>
      <c r="AE154" s="52"/>
      <c r="AF154" s="52"/>
    </row>
    <row r="155" spans="2:32" ht="38.450000000000003" customHeight="1">
      <c r="B155" s="275" t="s">
        <v>42</v>
      </c>
      <c r="C155" s="155" t="s">
        <v>199</v>
      </c>
      <c r="D155" s="206" t="s">
        <v>174</v>
      </c>
      <c r="E155" s="289" t="s">
        <v>158</v>
      </c>
      <c r="F155" s="221" t="s">
        <v>175</v>
      </c>
      <c r="G155" s="279">
        <v>45602</v>
      </c>
      <c r="H155" s="93" t="s">
        <v>386</v>
      </c>
      <c r="I155" s="266" t="s">
        <v>514</v>
      </c>
      <c r="J155" s="290" t="str">
        <f>IFERROR(VLOOKUP(Agreements!B266,'QB Consolidated Contacts'!$A$1:$F$333,6),"-")</f>
        <v>-</v>
      </c>
      <c r="K155" s="276" t="s">
        <v>39</v>
      </c>
      <c r="L155" s="276" t="s">
        <v>39</v>
      </c>
      <c r="M155" s="276"/>
      <c r="N155" s="275"/>
      <c r="O155" s="276"/>
      <c r="P155" s="272"/>
      <c r="Q155" s="272"/>
      <c r="R155" s="273"/>
      <c r="S155" s="273"/>
      <c r="T155" s="274"/>
      <c r="U155" s="92"/>
      <c r="V155" s="93">
        <f>IFERROR(EDATE(Agreements!T266,Agreements!U266),"")</f>
        <v>0</v>
      </c>
      <c r="W155" s="92">
        <f ca="1">IFERROR(Agreements!V266-TODAY(),"")</f>
        <v>-46093</v>
      </c>
      <c r="X155" s="92" t="str">
        <f ca="1">IF(SOWS[[#This Row],[Days to Contract End]]&lt;=90,"R",IF(AND(SOWS[[#This Row],[Days to Contract End]]&lt;180),"A","G"))</f>
        <v>R</v>
      </c>
      <c r="Y155" s="235"/>
      <c r="AA155" s="72"/>
      <c r="AB155" s="51"/>
      <c r="AC155" s="52"/>
      <c r="AE155" s="52"/>
      <c r="AF155" s="52"/>
    </row>
    <row r="156" spans="2:32" ht="38.450000000000003" customHeight="1">
      <c r="B156" s="275" t="s">
        <v>42</v>
      </c>
      <c r="C156" s="155" t="s">
        <v>199</v>
      </c>
      <c r="D156" s="206" t="s">
        <v>132</v>
      </c>
      <c r="E156" s="289" t="s">
        <v>158</v>
      </c>
      <c r="F156" s="221" t="s">
        <v>175</v>
      </c>
      <c r="G156" s="279">
        <v>45163</v>
      </c>
      <c r="H156" s="93">
        <v>45214</v>
      </c>
      <c r="I156" s="266" t="s">
        <v>201</v>
      </c>
      <c r="J156" s="290" t="s">
        <v>513</v>
      </c>
      <c r="K156" s="276" t="s">
        <v>39</v>
      </c>
      <c r="L156" s="276" t="s">
        <v>39</v>
      </c>
      <c r="M156" s="276"/>
      <c r="N156" s="275"/>
      <c r="O156" s="276">
        <v>400593</v>
      </c>
      <c r="P156" s="272"/>
      <c r="Q156" s="272"/>
      <c r="R156" s="273"/>
      <c r="S156" s="273"/>
      <c r="T156" s="274"/>
      <c r="U156" s="92" t="s">
        <v>220</v>
      </c>
      <c r="V156" s="93" t="str">
        <f>IFERROR(EDATE(H156,U156),"")</f>
        <v/>
      </c>
      <c r="W156" s="92" t="str">
        <f t="shared" ref="W156:W161" ca="1" si="15">IFERROR(V156-TODAY(),"")</f>
        <v/>
      </c>
      <c r="X156" s="92" t="str">
        <f ca="1">IF(SOWS[[#This Row],[Days to Contract End]]&lt;=90,"R",IF(AND(SOWS[[#This Row],[Days to Contract End]]&lt;180),"A","G"))</f>
        <v>G</v>
      </c>
      <c r="Y156" s="235"/>
      <c r="AA156" s="72"/>
      <c r="AB156" s="51"/>
      <c r="AC156" s="52"/>
      <c r="AE156" s="52"/>
      <c r="AF156" s="52"/>
    </row>
    <row r="157" spans="2:32" ht="38.450000000000003" customHeight="1">
      <c r="B157" s="275" t="s">
        <v>42</v>
      </c>
      <c r="C157" s="155" t="s">
        <v>515</v>
      </c>
      <c r="D157" s="206" t="s">
        <v>132</v>
      </c>
      <c r="E157" s="289" t="s">
        <v>351</v>
      </c>
      <c r="F157" s="221" t="s">
        <v>175</v>
      </c>
      <c r="G157" s="279"/>
      <c r="H157" s="93">
        <v>45155</v>
      </c>
      <c r="I157" s="266" t="s">
        <v>516</v>
      </c>
      <c r="J157" s="91">
        <f>IFERROR(VLOOKUP(C157,'QB Consolidated Contacts'!$A$1:$F$333,6),"-")</f>
        <v>0</v>
      </c>
      <c r="K157" s="276" t="s">
        <v>40</v>
      </c>
      <c r="L157" s="276" t="s">
        <v>40</v>
      </c>
      <c r="M157" s="276" t="s">
        <v>317</v>
      </c>
      <c r="N157" s="275"/>
      <c r="O157" s="276"/>
      <c r="P157" s="272"/>
      <c r="Q157" s="272"/>
      <c r="R157" s="273"/>
      <c r="S157" s="273"/>
      <c r="T157" s="274"/>
      <c r="U157" s="92">
        <v>2</v>
      </c>
      <c r="V157" s="93">
        <f>IFERROR(EDATE(H157,U157),"")</f>
        <v>45216</v>
      </c>
      <c r="W157" s="92">
        <f t="shared" ca="1" si="15"/>
        <v>-877</v>
      </c>
      <c r="X157" s="92" t="str">
        <f ca="1">IF(SOWS[[#This Row],[Days to Contract End]]&lt;=90,"R",IF(AND(SOWS[[#This Row],[Days to Contract End]]&lt;180),"A","G"))</f>
        <v>R</v>
      </c>
      <c r="Y157" s="235" t="s">
        <v>517</v>
      </c>
      <c r="AA157" s="72"/>
      <c r="AB157" s="51"/>
      <c r="AC157" s="52"/>
      <c r="AE157" s="52"/>
      <c r="AF157" s="52"/>
    </row>
    <row r="158" spans="2:32" ht="38.450000000000003" customHeight="1">
      <c r="B158" s="275" t="s">
        <v>42</v>
      </c>
      <c r="C158" s="155" t="s">
        <v>202</v>
      </c>
      <c r="D158" s="206" t="s">
        <v>132</v>
      </c>
      <c r="E158" s="221" t="s">
        <v>158</v>
      </c>
      <c r="F158" s="221" t="s">
        <v>288</v>
      </c>
      <c r="G158" s="279"/>
      <c r="H158" s="93">
        <v>44986</v>
      </c>
      <c r="I158" s="266" t="s">
        <v>518</v>
      </c>
      <c r="J158" s="91">
        <f>IFERROR(VLOOKUP(C158,'QB Consolidated Contacts'!$A$1:$F$333,6),"-")</f>
        <v>0</v>
      </c>
      <c r="K158" s="276" t="s">
        <v>39</v>
      </c>
      <c r="L158" s="276" t="s">
        <v>39</v>
      </c>
      <c r="M158" s="276" t="s">
        <v>315</v>
      </c>
      <c r="N158" s="275" t="s">
        <v>39</v>
      </c>
      <c r="O158" s="276"/>
      <c r="P158" s="272" t="s">
        <v>290</v>
      </c>
      <c r="Q158" s="272"/>
      <c r="R158" s="273">
        <v>5000</v>
      </c>
      <c r="S158" s="273">
        <f>SOWS[[#This Row],[Monthly Budget]]*9</f>
        <v>45000</v>
      </c>
      <c r="T158" s="274">
        <v>360</v>
      </c>
      <c r="U158" s="92">
        <v>9</v>
      </c>
      <c r="V158" s="93">
        <f>IFERROR(EOMONTH(H158,U158),"")</f>
        <v>45291</v>
      </c>
      <c r="W158" s="92">
        <f t="shared" ca="1" si="15"/>
        <v>-802</v>
      </c>
      <c r="X158" s="92" t="str">
        <f ca="1">IF(SOWS[[#This Row],[Days to Contract End]]&lt;=90,"R",IF(AND(SOWS[[#This Row],[Days to Contract End]]&lt;180),"A","G"))</f>
        <v>R</v>
      </c>
      <c r="Y158" s="235"/>
      <c r="AA158" s="72"/>
      <c r="AB158" s="51"/>
      <c r="AC158" s="52"/>
      <c r="AE158" s="52"/>
      <c r="AF158" s="52"/>
    </row>
    <row r="159" spans="2:32" ht="38.450000000000003" customHeight="1">
      <c r="B159" s="275" t="s">
        <v>42</v>
      </c>
      <c r="C159" s="155" t="s">
        <v>202</v>
      </c>
      <c r="D159" s="206" t="s">
        <v>174</v>
      </c>
      <c r="E159" s="221" t="s">
        <v>158</v>
      </c>
      <c r="F159" s="221" t="s">
        <v>175</v>
      </c>
      <c r="G159" s="279"/>
      <c r="H159" s="93">
        <v>43920</v>
      </c>
      <c r="I159" s="267" t="s">
        <v>519</v>
      </c>
      <c r="J159" s="91">
        <f>IFERROR(VLOOKUP(C159,'QB Consolidated Contacts'!$A$1:$F$333,6),"-")</f>
        <v>0</v>
      </c>
      <c r="K159" s="276" t="s">
        <v>39</v>
      </c>
      <c r="L159" s="276"/>
      <c r="M159" s="276" t="s">
        <v>309</v>
      </c>
      <c r="N159" s="275"/>
      <c r="O159" s="276"/>
      <c r="P159" s="272" t="s">
        <v>290</v>
      </c>
      <c r="Q159" s="272"/>
      <c r="R159" s="273"/>
      <c r="S159" s="273"/>
      <c r="T159" s="274">
        <v>448</v>
      </c>
      <c r="U159" s="92" t="s">
        <v>46</v>
      </c>
      <c r="V159" s="93" t="str">
        <f t="shared" ref="V159:V186" si="16">IFERROR(EDATE(H159,U159),"")</f>
        <v/>
      </c>
      <c r="W159" s="92" t="str">
        <f t="shared" ca="1" si="15"/>
        <v/>
      </c>
      <c r="X159" s="92" t="str">
        <f ca="1">IF(SOWS[[#This Row],[Days to Contract End]]&lt;=90,"R",IF(AND(SOWS[[#This Row],[Days to Contract End]]&lt;180),"A","G"))</f>
        <v>G</v>
      </c>
      <c r="Y159" s="235" t="s">
        <v>520</v>
      </c>
      <c r="AA159" s="72"/>
      <c r="AB159" s="51"/>
      <c r="AC159" s="52"/>
      <c r="AE159" s="52"/>
      <c r="AF159" s="52"/>
    </row>
    <row r="160" spans="2:32" ht="38.450000000000003" customHeight="1">
      <c r="B160" s="275" t="s">
        <v>42</v>
      </c>
      <c r="C160" s="155" t="s">
        <v>202</v>
      </c>
      <c r="D160" s="206" t="s">
        <v>132</v>
      </c>
      <c r="E160" s="221" t="s">
        <v>158</v>
      </c>
      <c r="F160" s="221" t="s">
        <v>288</v>
      </c>
      <c r="G160" s="279"/>
      <c r="H160" s="93">
        <v>42348</v>
      </c>
      <c r="I160" s="266" t="s">
        <v>316</v>
      </c>
      <c r="J160" s="91">
        <f>IFERROR(VLOOKUP(C160,'QB Consolidated Contacts'!$A$1:$F$333,6),"-")</f>
        <v>0</v>
      </c>
      <c r="K160" s="276" t="s">
        <v>39</v>
      </c>
      <c r="L160" s="276"/>
      <c r="M160" s="276" t="s">
        <v>315</v>
      </c>
      <c r="N160" s="275" t="s">
        <v>39</v>
      </c>
      <c r="O160" s="276"/>
      <c r="P160" s="272" t="s">
        <v>290</v>
      </c>
      <c r="Q160" s="272"/>
      <c r="R160" s="273"/>
      <c r="S160" s="273"/>
      <c r="T160" s="274">
        <v>30</v>
      </c>
      <c r="U160" s="92">
        <v>24</v>
      </c>
      <c r="V160" s="93">
        <f t="shared" si="16"/>
        <v>43079</v>
      </c>
      <c r="W160" s="92">
        <f t="shared" ca="1" si="15"/>
        <v>-3014</v>
      </c>
      <c r="X160" s="92" t="str">
        <f ca="1">IF(SOWS[[#This Row],[Days to Contract End]]&lt;=90,"R",IF(AND(SOWS[[#This Row],[Days to Contract End]]&lt;180),"A","G"))</f>
        <v>R</v>
      </c>
      <c r="Y160" s="235"/>
      <c r="AA160" s="72"/>
      <c r="AB160" s="51"/>
      <c r="AC160" s="52"/>
      <c r="AE160" s="52"/>
      <c r="AF160" s="52"/>
    </row>
    <row r="161" spans="2:32" ht="38.450000000000003" customHeight="1">
      <c r="B161" s="275" t="s">
        <v>42</v>
      </c>
      <c r="C161" s="155" t="s">
        <v>521</v>
      </c>
      <c r="D161" s="206"/>
      <c r="E161" s="221" t="s">
        <v>158</v>
      </c>
      <c r="F161" s="221"/>
      <c r="G161" s="279"/>
      <c r="H161" s="93">
        <v>45146</v>
      </c>
      <c r="I161" s="268" t="s">
        <v>522</v>
      </c>
      <c r="J161" s="91">
        <f>IFERROR(VLOOKUP(C161,'QB Consolidated Contacts'!$A$1:$F$333,6),"-")</f>
        <v>0</v>
      </c>
      <c r="K161" s="276" t="s">
        <v>39</v>
      </c>
      <c r="L161" s="276" t="s">
        <v>39</v>
      </c>
      <c r="M161" s="276" t="s">
        <v>315</v>
      </c>
      <c r="N161" s="275"/>
      <c r="O161" s="276"/>
      <c r="P161" s="272"/>
      <c r="Q161" s="272"/>
      <c r="R161" s="273"/>
      <c r="S161" s="273"/>
      <c r="T161" s="274">
        <v>1538</v>
      </c>
      <c r="U161" s="92" t="s">
        <v>220</v>
      </c>
      <c r="V161" s="93" t="str">
        <f t="shared" si="16"/>
        <v/>
      </c>
      <c r="W161" s="92" t="str">
        <f t="shared" ca="1" si="15"/>
        <v/>
      </c>
      <c r="X161" s="92" t="str">
        <f ca="1">IF(SOWS[[#This Row],[Days to Contract End]]&lt;=90,"R",IF(AND(SOWS[[#This Row],[Days to Contract End]]&lt;180),"A","G"))</f>
        <v>G</v>
      </c>
      <c r="Y161" s="235"/>
      <c r="AA161" s="72"/>
      <c r="AB161" s="51"/>
      <c r="AC161" s="52"/>
      <c r="AE161" s="52"/>
      <c r="AF161" s="52"/>
    </row>
    <row r="162" spans="2:32" ht="38.450000000000003" customHeight="1">
      <c r="B162" s="275" t="s">
        <v>42</v>
      </c>
      <c r="C162" s="155" t="s">
        <v>521</v>
      </c>
      <c r="D162" s="206" t="s">
        <v>132</v>
      </c>
      <c r="E162" s="221" t="s">
        <v>158</v>
      </c>
      <c r="F162" s="221" t="s">
        <v>295</v>
      </c>
      <c r="G162" s="279"/>
      <c r="H162" s="93"/>
      <c r="I162" s="266" t="s">
        <v>508</v>
      </c>
      <c r="J162" s="278" t="s">
        <v>523</v>
      </c>
      <c r="K162" s="276" t="s">
        <v>39</v>
      </c>
      <c r="L162" s="276" t="s">
        <v>39</v>
      </c>
      <c r="M162" s="276" t="s">
        <v>315</v>
      </c>
      <c r="N162" s="275"/>
      <c r="O162" s="276"/>
      <c r="P162" s="272"/>
      <c r="Q162" s="272"/>
      <c r="R162" s="273"/>
      <c r="S162" s="273"/>
      <c r="T162" s="274"/>
      <c r="U162" s="92"/>
      <c r="V162" s="93">
        <f t="shared" si="16"/>
        <v>0</v>
      </c>
      <c r="W162" s="92">
        <f ca="1">IFERROR(Agreements!W273-TODAY(),"")</f>
        <v>-46093</v>
      </c>
      <c r="X162" s="92" t="str">
        <f ca="1">IF(SOWS[[#This Row],[Days to Contract End]]&lt;=90,"R",IF(AND(SOWS[[#This Row],[Days to Contract End]]&lt;180),"A","G"))</f>
        <v>R</v>
      </c>
      <c r="Y162" s="235"/>
      <c r="AA162" s="72"/>
      <c r="AB162" s="51"/>
      <c r="AC162" s="52"/>
      <c r="AE162" s="52"/>
      <c r="AF162" s="52"/>
    </row>
    <row r="163" spans="2:32" ht="38.450000000000003" customHeight="1">
      <c r="B163" s="275" t="s">
        <v>42</v>
      </c>
      <c r="C163" s="155" t="s">
        <v>203</v>
      </c>
      <c r="D163" s="206" t="s">
        <v>132</v>
      </c>
      <c r="E163" s="221" t="s">
        <v>158</v>
      </c>
      <c r="F163" s="221" t="s">
        <v>175</v>
      </c>
      <c r="G163" s="279"/>
      <c r="H163" s="93">
        <v>45214</v>
      </c>
      <c r="I163" s="266" t="s">
        <v>524</v>
      </c>
      <c r="J163" s="285" t="s">
        <v>525</v>
      </c>
      <c r="K163" s="276" t="s">
        <v>39</v>
      </c>
      <c r="L163" s="276" t="s">
        <v>39</v>
      </c>
      <c r="M163" s="276" t="s">
        <v>309</v>
      </c>
      <c r="N163" s="275"/>
      <c r="O163" s="276" t="s">
        <v>526</v>
      </c>
      <c r="P163" s="272" t="s">
        <v>383</v>
      </c>
      <c r="Q163" s="272" t="s">
        <v>527</v>
      </c>
      <c r="R163" s="273"/>
      <c r="S163" s="273">
        <v>79000</v>
      </c>
      <c r="T163" s="274">
        <v>600</v>
      </c>
      <c r="U163" s="92" t="s">
        <v>220</v>
      </c>
      <c r="V163" s="93" t="str">
        <f t="shared" si="16"/>
        <v/>
      </c>
      <c r="W163" s="92" t="str">
        <f ca="1">IFERROR(V163-TODAY(),"")</f>
        <v/>
      </c>
      <c r="X163" s="92" t="str">
        <f ca="1">IF(SOWS[[#This Row],[Days to Contract End]]&lt;=90,"R",IF(AND(SOWS[[#This Row],[Days to Contract End]]&lt;180),"A","G"))</f>
        <v>G</v>
      </c>
      <c r="Y163" s="235" t="s">
        <v>528</v>
      </c>
      <c r="AA163" s="72"/>
      <c r="AB163" s="51"/>
      <c r="AC163" s="52"/>
      <c r="AE163" s="52"/>
      <c r="AF163" s="52"/>
    </row>
    <row r="164" spans="2:32" ht="38.450000000000003" customHeight="1">
      <c r="B164" s="275" t="s">
        <v>42</v>
      </c>
      <c r="C164" s="155" t="s">
        <v>203</v>
      </c>
      <c r="D164" s="206" t="s">
        <v>132</v>
      </c>
      <c r="E164" s="221" t="s">
        <v>158</v>
      </c>
      <c r="F164" s="221" t="s">
        <v>175</v>
      </c>
      <c r="G164" s="279">
        <v>45078</v>
      </c>
      <c r="H164" s="93">
        <v>45078</v>
      </c>
      <c r="I164" s="266" t="s">
        <v>529</v>
      </c>
      <c r="J164" s="285" t="s">
        <v>530</v>
      </c>
      <c r="K164" s="276" t="s">
        <v>39</v>
      </c>
      <c r="L164" s="276" t="s">
        <v>39</v>
      </c>
      <c r="M164" s="276" t="s">
        <v>309</v>
      </c>
      <c r="N164" s="275"/>
      <c r="O164" s="276"/>
      <c r="P164" s="272" t="s">
        <v>383</v>
      </c>
      <c r="Q164" s="272" t="s">
        <v>527</v>
      </c>
      <c r="R164" s="273"/>
      <c r="S164" s="273">
        <v>85800</v>
      </c>
      <c r="T164" s="274">
        <v>440</v>
      </c>
      <c r="U164" s="92" t="s">
        <v>46</v>
      </c>
      <c r="V164" s="93" t="str">
        <f t="shared" si="16"/>
        <v/>
      </c>
      <c r="W164" s="92" t="str">
        <f ca="1">IFERROR(V164-TODAY(),"")</f>
        <v/>
      </c>
      <c r="X164" s="92" t="str">
        <f ca="1">IF(SOWS[[#This Row],[Days to Contract End]]&lt;=90,"R",IF(AND(SOWS[[#This Row],[Days to Contract End]]&lt;180),"A","G"))</f>
        <v>G</v>
      </c>
      <c r="Y164" s="235"/>
      <c r="AA164" s="72"/>
      <c r="AB164" s="51"/>
      <c r="AC164" s="52"/>
      <c r="AE164" s="52"/>
      <c r="AF164" s="52"/>
    </row>
    <row r="165" spans="2:32" ht="38.450000000000003" customHeight="1">
      <c r="B165" s="275" t="s">
        <v>51</v>
      </c>
      <c r="C165" s="155" t="s">
        <v>204</v>
      </c>
      <c r="D165" s="206" t="s">
        <v>132</v>
      </c>
      <c r="E165" s="221" t="s">
        <v>158</v>
      </c>
      <c r="F165" s="221" t="s">
        <v>288</v>
      </c>
      <c r="G165" s="279"/>
      <c r="H165" s="93">
        <v>44866</v>
      </c>
      <c r="I165" s="267" t="s">
        <v>288</v>
      </c>
      <c r="J165" s="91">
        <f>IFERROR(VLOOKUP(C165,'QB Consolidated Contacts'!$A$1:$F$333,6),"-")</f>
        <v>0</v>
      </c>
      <c r="K165" s="276" t="s">
        <v>39</v>
      </c>
      <c r="L165" s="276"/>
      <c r="M165" s="276" t="s">
        <v>315</v>
      </c>
      <c r="N165" s="275"/>
      <c r="O165" s="276"/>
      <c r="P165" s="272" t="s">
        <v>290</v>
      </c>
      <c r="Q165" s="272"/>
      <c r="R165" s="273"/>
      <c r="S165" s="273"/>
      <c r="T165" s="274" t="s">
        <v>505</v>
      </c>
      <c r="U165" s="92" t="s">
        <v>46</v>
      </c>
      <c r="V165" s="93" t="str">
        <f t="shared" si="16"/>
        <v/>
      </c>
      <c r="W165" s="92" t="str">
        <f ca="1">IFERROR(V165-TODAY(),"")</f>
        <v/>
      </c>
      <c r="X165" s="92" t="str">
        <f ca="1">IF(SOWS[[#This Row],[Days to Contract End]]&lt;=90,"R",IF(AND(SOWS[[#This Row],[Days to Contract End]]&lt;180),"A","G"))</f>
        <v>G</v>
      </c>
      <c r="Y165" s="235"/>
      <c r="AA165" s="72"/>
      <c r="AB165" s="51"/>
      <c r="AC165" s="52"/>
      <c r="AE165" s="52"/>
      <c r="AF165" s="52"/>
    </row>
    <row r="166" spans="2:32" ht="38.450000000000003" customHeight="1">
      <c r="B166" s="275" t="s">
        <v>42</v>
      </c>
      <c r="C166" s="155" t="s">
        <v>531</v>
      </c>
      <c r="D166" s="206" t="s">
        <v>174</v>
      </c>
      <c r="E166" s="221" t="s">
        <v>158</v>
      </c>
      <c r="F166" s="221" t="s">
        <v>175</v>
      </c>
      <c r="G166" s="279">
        <v>45748</v>
      </c>
      <c r="H166" s="93">
        <v>45751</v>
      </c>
      <c r="I166" s="266" t="s">
        <v>532</v>
      </c>
      <c r="J166" s="278" t="str">
        <f>IFERROR(VLOOKUP(Agreements!B121,'QB Consolidated Contacts'!$A$1:$F$333,6),"-")</f>
        <v>-</v>
      </c>
      <c r="K166" s="276" t="s">
        <v>39</v>
      </c>
      <c r="L166" s="276" t="s">
        <v>39</v>
      </c>
      <c r="M166" s="276"/>
      <c r="N166" s="275"/>
      <c r="O166" s="276"/>
      <c r="P166" s="272"/>
      <c r="Q166" s="272"/>
      <c r="R166" s="273"/>
      <c r="S166" s="273"/>
      <c r="T166" s="274"/>
      <c r="U166" s="92"/>
      <c r="V166" s="93">
        <f t="shared" si="16"/>
        <v>45751</v>
      </c>
      <c r="W166" s="92">
        <f ca="1">IFERROR(Agreements!W121-TODAY(),"")</f>
        <v>-46093</v>
      </c>
      <c r="X166" s="92" t="str">
        <f ca="1">IF(SOWS[[#This Row],[Days to Contract End]]&lt;=90,"R",IF(AND(SOWS[[#This Row],[Days to Contract End]]&lt;180),"A","G"))</f>
        <v>R</v>
      </c>
      <c r="Y166" s="235"/>
      <c r="AA166" s="72"/>
      <c r="AB166" s="51"/>
      <c r="AC166" s="52"/>
      <c r="AE166" s="52"/>
      <c r="AF166" s="52"/>
    </row>
    <row r="167" spans="2:32" ht="38.450000000000003" customHeight="1">
      <c r="B167" s="275"/>
      <c r="C167" s="155" t="s">
        <v>533</v>
      </c>
      <c r="D167" s="206"/>
      <c r="E167" s="221"/>
      <c r="F167" s="221" t="s">
        <v>108</v>
      </c>
      <c r="G167" s="279"/>
      <c r="H167" s="93"/>
      <c r="I167" s="268" t="s">
        <v>144</v>
      </c>
      <c r="J167" s="278">
        <f>IFERROR(VLOOKUP(C167,'QB Consolidated Contacts'!$A$1:$F$333,6),"-")</f>
        <v>0</v>
      </c>
      <c r="K167" s="276"/>
      <c r="L167" s="276"/>
      <c r="M167" s="276" t="s">
        <v>315</v>
      </c>
      <c r="N167" s="275"/>
      <c r="O167" s="276"/>
      <c r="P167" s="272"/>
      <c r="Q167" s="272"/>
      <c r="R167" s="273"/>
      <c r="S167" s="273"/>
      <c r="T167" s="274"/>
      <c r="U167" s="92"/>
      <c r="V167" s="93">
        <f t="shared" si="16"/>
        <v>0</v>
      </c>
      <c r="W167" s="92">
        <f ca="1">IFERROR(V167-TODAY(),"")</f>
        <v>-46093</v>
      </c>
      <c r="X167" s="92" t="str">
        <f ca="1">IF(SOWS[[#This Row],[Days to Contract End]]&lt;=90,"R",IF(AND(SOWS[[#This Row],[Days to Contract End]]&lt;180),"A","G"))</f>
        <v>R</v>
      </c>
      <c r="Y167" s="235"/>
      <c r="AA167" s="72"/>
      <c r="AB167" s="51"/>
      <c r="AC167" s="52"/>
      <c r="AE167" s="52"/>
      <c r="AF167" s="52"/>
    </row>
    <row r="168" spans="2:32" ht="38.450000000000003" customHeight="1">
      <c r="B168" s="275" t="s">
        <v>42</v>
      </c>
      <c r="C168" s="155" t="s">
        <v>534</v>
      </c>
      <c r="D168" s="206" t="s">
        <v>132</v>
      </c>
      <c r="E168" s="221" t="s">
        <v>158</v>
      </c>
      <c r="F168" s="221" t="s">
        <v>288</v>
      </c>
      <c r="G168" s="279"/>
      <c r="H168" s="93">
        <v>42850</v>
      </c>
      <c r="I168" s="267" t="s">
        <v>316</v>
      </c>
      <c r="J168" s="91">
        <f>IFERROR(VLOOKUP(C168,'QB Consolidated Contacts'!$A$1:$F$333,6),"-")</f>
        <v>0</v>
      </c>
      <c r="K168" s="276" t="s">
        <v>40</v>
      </c>
      <c r="L168" s="276"/>
      <c r="M168" s="276" t="s">
        <v>108</v>
      </c>
      <c r="N168" s="275"/>
      <c r="O168" s="276"/>
      <c r="P168" s="272" t="s">
        <v>290</v>
      </c>
      <c r="Q168" s="272"/>
      <c r="R168" s="273"/>
      <c r="S168" s="273"/>
      <c r="T168" s="274"/>
      <c r="U168" s="92" t="s">
        <v>46</v>
      </c>
      <c r="V168" s="93" t="str">
        <f t="shared" si="16"/>
        <v/>
      </c>
      <c r="W168" s="92" t="str">
        <f ca="1">IFERROR(V168-TODAY(),"")</f>
        <v/>
      </c>
      <c r="X168" s="92" t="str">
        <f ca="1">IF(SOWS[[#This Row],[Days to Contract End]]&lt;=90,"R",IF(AND(SOWS[[#This Row],[Days to Contract End]]&lt;180),"A","G"))</f>
        <v>G</v>
      </c>
      <c r="Y168" s="235"/>
      <c r="AA168" s="72"/>
      <c r="AB168" s="51"/>
      <c r="AC168" s="52"/>
      <c r="AE168" s="52"/>
      <c r="AF168" s="52"/>
    </row>
    <row r="169" spans="2:32" ht="38.450000000000003" customHeight="1">
      <c r="B169" s="275" t="s">
        <v>42</v>
      </c>
      <c r="C169" s="155" t="s">
        <v>210</v>
      </c>
      <c r="D169" s="206" t="s">
        <v>132</v>
      </c>
      <c r="E169" s="221" t="s">
        <v>158</v>
      </c>
      <c r="F169" s="221" t="s">
        <v>288</v>
      </c>
      <c r="G169" s="279"/>
      <c r="H169" s="93">
        <v>44713</v>
      </c>
      <c r="I169" s="266" t="s">
        <v>535</v>
      </c>
      <c r="J169" s="91">
        <f>IFERROR(VLOOKUP(C169,'QB Consolidated Contacts'!$A$1:$F$333,6),"-")</f>
        <v>0</v>
      </c>
      <c r="K169" s="276" t="s">
        <v>39</v>
      </c>
      <c r="L169" s="276"/>
      <c r="M169" s="276" t="s">
        <v>315</v>
      </c>
      <c r="N169" s="275" t="s">
        <v>39</v>
      </c>
      <c r="O169" s="288" t="s">
        <v>536</v>
      </c>
      <c r="P169" s="272" t="s">
        <v>290</v>
      </c>
      <c r="Q169" s="272"/>
      <c r="R169" s="273">
        <v>1300</v>
      </c>
      <c r="S169" s="273"/>
      <c r="T169" s="274">
        <v>10</v>
      </c>
      <c r="U169" s="92" t="s">
        <v>46</v>
      </c>
      <c r="V169" s="93" t="str">
        <f t="shared" si="16"/>
        <v/>
      </c>
      <c r="W169" s="92" t="str">
        <f ca="1">IFERROR(V169-TODAY(),"")</f>
        <v/>
      </c>
      <c r="X169" s="92" t="str">
        <f ca="1">IF(SOWS[[#This Row],[Days to Contract End]]&lt;=90,"R",IF(AND(SOWS[[#This Row],[Days to Contract End]]&lt;180),"A","G"))</f>
        <v>G</v>
      </c>
      <c r="Y169" s="235" t="s">
        <v>537</v>
      </c>
      <c r="AA169" s="72"/>
      <c r="AB169" s="51"/>
      <c r="AC169" s="52"/>
      <c r="AE169" s="52"/>
      <c r="AF169" s="52"/>
    </row>
    <row r="170" spans="2:32" ht="38.450000000000003" customHeight="1">
      <c r="B170" s="275"/>
      <c r="C170" s="155" t="s">
        <v>210</v>
      </c>
      <c r="D170" s="206"/>
      <c r="E170" s="221" t="s">
        <v>351</v>
      </c>
      <c r="F170" s="221" t="s">
        <v>449</v>
      </c>
      <c r="G170" s="279"/>
      <c r="H170" s="93"/>
      <c r="I170" s="268" t="s">
        <v>538</v>
      </c>
      <c r="J170" s="91">
        <f>IFERROR(VLOOKUP(C170,'QB Consolidated Contacts'!$A$1:$F$333,6),"-")</f>
        <v>0</v>
      </c>
      <c r="K170" s="276"/>
      <c r="L170" s="276"/>
      <c r="M170" s="276"/>
      <c r="N170" s="275"/>
      <c r="O170" s="276"/>
      <c r="P170" s="272"/>
      <c r="Q170" s="272"/>
      <c r="R170" s="273"/>
      <c r="S170" s="273"/>
      <c r="T170" s="274"/>
      <c r="U170" s="92"/>
      <c r="V170" s="93">
        <f t="shared" si="16"/>
        <v>0</v>
      </c>
      <c r="W170" s="92">
        <f ca="1">IFERROR(V170-TODAY(),"")</f>
        <v>-46093</v>
      </c>
      <c r="X170" s="92" t="str">
        <f ca="1">IF(SOWS[[#This Row],[Days to Contract End]]&lt;=90,"R",IF(AND(SOWS[[#This Row],[Days to Contract End]]&lt;180),"A","G"))</f>
        <v>R</v>
      </c>
      <c r="Y170" s="235"/>
      <c r="Z170" s="109"/>
      <c r="AA170" s="110"/>
      <c r="AB170" s="52"/>
      <c r="AC170" s="72"/>
      <c r="AD170" s="51"/>
      <c r="AE170" s="52"/>
      <c r="AF170" s="52"/>
    </row>
    <row r="171" spans="2:32" ht="38.450000000000003" customHeight="1">
      <c r="B171" s="275" t="s">
        <v>42</v>
      </c>
      <c r="C171" s="155" t="s">
        <v>218</v>
      </c>
      <c r="D171" s="206"/>
      <c r="E171" s="221" t="s">
        <v>158</v>
      </c>
      <c r="F171" s="221" t="s">
        <v>175</v>
      </c>
      <c r="G171" s="279"/>
      <c r="H171" s="93"/>
      <c r="I171" s="266" t="s">
        <v>539</v>
      </c>
      <c r="J171" s="91">
        <f>IFERROR(VLOOKUP(C171,'QB Consolidated Contacts'!$A$1:$F$333,6),"-")</f>
        <v>0</v>
      </c>
      <c r="K171" s="276" t="s">
        <v>39</v>
      </c>
      <c r="L171" s="276" t="s">
        <v>39</v>
      </c>
      <c r="M171" s="276"/>
      <c r="N171" s="275"/>
      <c r="O171" s="276"/>
      <c r="P171" s="272"/>
      <c r="Q171" s="272"/>
      <c r="R171" s="273"/>
      <c r="S171" s="273"/>
      <c r="T171" s="274"/>
      <c r="U171" s="92"/>
      <c r="V171" s="93">
        <f t="shared" si="16"/>
        <v>0</v>
      </c>
      <c r="W171" s="92">
        <f ca="1">IFERROR(V171-TODAY(),"")</f>
        <v>-46093</v>
      </c>
      <c r="X171" s="92" t="str">
        <f ca="1">IF(SOWS[[#This Row],[Days to Contract End]]&lt;=90,"R",IF(AND(SOWS[[#This Row],[Days to Contract End]]&lt;180),"A","G"))</f>
        <v>R</v>
      </c>
      <c r="Y171" s="235"/>
      <c r="Z171" s="94"/>
      <c r="AA171" s="112"/>
      <c r="AB171" s="52"/>
      <c r="AC171" s="72"/>
      <c r="AD171" s="51"/>
      <c r="AE171" s="52"/>
      <c r="AF171" s="52"/>
    </row>
    <row r="172" spans="2:32" ht="38.450000000000003" customHeight="1">
      <c r="B172" s="275" t="s">
        <v>42</v>
      </c>
      <c r="C172" s="155" t="s">
        <v>218</v>
      </c>
      <c r="D172" s="206" t="s">
        <v>174</v>
      </c>
      <c r="E172" s="221" t="s">
        <v>320</v>
      </c>
      <c r="F172" s="221" t="s">
        <v>175</v>
      </c>
      <c r="G172" s="279"/>
      <c r="H172" s="93"/>
      <c r="I172" s="266" t="s">
        <v>540</v>
      </c>
      <c r="J172" s="91" t="str">
        <f>IFERROR(VLOOKUP(Agreements!B265,'QB Consolidated Contacts'!$A$1:$F$333,6),"-")</f>
        <v>-</v>
      </c>
      <c r="K172" s="276"/>
      <c r="L172" s="276"/>
      <c r="M172" s="276"/>
      <c r="N172" s="275"/>
      <c r="O172" s="276"/>
      <c r="P172" s="272"/>
      <c r="Q172" s="272"/>
      <c r="R172" s="273"/>
      <c r="S172" s="273"/>
      <c r="T172" s="274"/>
      <c r="U172" s="92"/>
      <c r="V172" s="93">
        <f t="shared" si="16"/>
        <v>0</v>
      </c>
      <c r="W172" s="92">
        <f ca="1">IFERROR(Agreements!W265-TODAY(),"")</f>
        <v>-46093</v>
      </c>
      <c r="X172" s="92" t="str">
        <f ca="1">IF(SOWS[[#This Row],[Days to Contract End]]&lt;=90,"R",IF(AND(SOWS[[#This Row],[Days to Contract End]]&lt;180),"A","G"))</f>
        <v>R</v>
      </c>
      <c r="Y172" s="235"/>
      <c r="Z172" s="94"/>
      <c r="AA172" s="112"/>
      <c r="AB172" s="52"/>
      <c r="AC172" s="72"/>
      <c r="AD172" s="51"/>
      <c r="AE172" s="52"/>
      <c r="AF172" s="52"/>
    </row>
    <row r="173" spans="2:32" ht="38.450000000000003" customHeight="1">
      <c r="B173" s="275" t="s">
        <v>42</v>
      </c>
      <c r="C173" s="155" t="s">
        <v>218</v>
      </c>
      <c r="D173" s="206" t="s">
        <v>174</v>
      </c>
      <c r="E173" s="221" t="s">
        <v>320</v>
      </c>
      <c r="F173" s="221" t="s">
        <v>175</v>
      </c>
      <c r="G173" s="279"/>
      <c r="H173" s="93"/>
      <c r="I173" s="266" t="s">
        <v>541</v>
      </c>
      <c r="J173" s="91" t="str">
        <f>IFERROR(VLOOKUP(Agreements!B265,'QB Consolidated Contacts'!$A$1:$F$333,6),"-")</f>
        <v>-</v>
      </c>
      <c r="K173" s="276"/>
      <c r="L173" s="276"/>
      <c r="M173" s="276"/>
      <c r="N173" s="275"/>
      <c r="O173" s="276"/>
      <c r="P173" s="272"/>
      <c r="Q173" s="272"/>
      <c r="R173" s="273"/>
      <c r="S173" s="273"/>
      <c r="T173" s="274"/>
      <c r="U173" s="92"/>
      <c r="V173" s="93">
        <f t="shared" si="16"/>
        <v>0</v>
      </c>
      <c r="W173" s="92">
        <f ca="1">IFERROR(Agreements!W265-TODAY(),"")</f>
        <v>-46093</v>
      </c>
      <c r="X173" s="92" t="str">
        <f ca="1">IF(SOWS[[#This Row],[Days to Contract End]]&lt;=90,"R",IF(AND(SOWS[[#This Row],[Days to Contract End]]&lt;180),"A","G"))</f>
        <v>R</v>
      </c>
      <c r="Y173" s="235"/>
      <c r="Z173" s="94"/>
      <c r="AA173" s="112"/>
      <c r="AB173" s="52"/>
      <c r="AC173" s="72"/>
      <c r="AD173" s="51"/>
      <c r="AE173" s="52"/>
      <c r="AF173" s="52"/>
    </row>
    <row r="174" spans="2:32" ht="38.450000000000003" customHeight="1">
      <c r="B174" s="275" t="s">
        <v>42</v>
      </c>
      <c r="C174" s="155" t="s">
        <v>218</v>
      </c>
      <c r="D174" s="206"/>
      <c r="E174" s="221" t="s">
        <v>158</v>
      </c>
      <c r="F174" s="221" t="s">
        <v>175</v>
      </c>
      <c r="G174" s="279"/>
      <c r="H174" s="93">
        <v>45308</v>
      </c>
      <c r="I174" s="266" t="s">
        <v>542</v>
      </c>
      <c r="J174" s="91">
        <f>IFERROR(VLOOKUP(C174,'QB Consolidated Contacts'!$A$1:$F$333,6),"-")</f>
        <v>0</v>
      </c>
      <c r="K174" s="276" t="s">
        <v>39</v>
      </c>
      <c r="L174" s="276" t="s">
        <v>39</v>
      </c>
      <c r="M174" s="276" t="s">
        <v>315</v>
      </c>
      <c r="N174" s="275"/>
      <c r="O174" s="276"/>
      <c r="P174" s="272"/>
      <c r="Q174" s="272"/>
      <c r="R174" s="273"/>
      <c r="S174" s="273"/>
      <c r="T174" s="274"/>
      <c r="U174" s="92">
        <v>11</v>
      </c>
      <c r="V174" s="93">
        <f t="shared" si="16"/>
        <v>45643</v>
      </c>
      <c r="W174" s="92">
        <f t="shared" ref="W174:W188" ca="1" si="17">IFERROR(V174-TODAY(),"")</f>
        <v>-450</v>
      </c>
      <c r="X174" s="92" t="str">
        <f ca="1">IF(SOWS[[#This Row],[Days to Contract End]]&lt;=90,"R",IF(AND(SOWS[[#This Row],[Days to Contract End]]&lt;180),"A","G"))</f>
        <v>R</v>
      </c>
      <c r="Y174" s="235"/>
      <c r="Z174" s="94"/>
      <c r="AA174" s="112"/>
      <c r="AB174" s="52"/>
      <c r="AC174" s="72"/>
      <c r="AD174" s="51"/>
      <c r="AE174" s="52"/>
      <c r="AF174" s="52"/>
    </row>
    <row r="175" spans="2:32" ht="38.450000000000003" customHeight="1">
      <c r="B175" s="275" t="s">
        <v>42</v>
      </c>
      <c r="C175" s="155" t="s">
        <v>222</v>
      </c>
      <c r="D175" s="206" t="s">
        <v>174</v>
      </c>
      <c r="E175" s="221" t="s">
        <v>158</v>
      </c>
      <c r="F175" s="221" t="s">
        <v>288</v>
      </c>
      <c r="G175" s="279"/>
      <c r="H175" s="93"/>
      <c r="I175" s="267" t="s">
        <v>543</v>
      </c>
      <c r="J175" s="91">
        <f>IFERROR(VLOOKUP(C175,'QB Consolidated Contacts'!$A$1:$F$333,6),"-")</f>
        <v>0</v>
      </c>
      <c r="K175" s="276" t="s">
        <v>40</v>
      </c>
      <c r="L175" s="276"/>
      <c r="M175" s="276" t="s">
        <v>108</v>
      </c>
      <c r="N175" s="275"/>
      <c r="O175" s="276"/>
      <c r="P175" s="272" t="s">
        <v>290</v>
      </c>
      <c r="Q175" s="272"/>
      <c r="R175" s="273"/>
      <c r="S175" s="273"/>
      <c r="T175" s="274"/>
      <c r="U175" s="92"/>
      <c r="V175" s="93">
        <f t="shared" si="16"/>
        <v>0</v>
      </c>
      <c r="W175" s="92">
        <f t="shared" ca="1" si="17"/>
        <v>-46093</v>
      </c>
      <c r="X175" s="92" t="str">
        <f ca="1">IF(SOWS[[#This Row],[Days to Contract End]]&lt;=90,"R",IF(AND(SOWS[[#This Row],[Days to Contract End]]&lt;180),"A","G"))</f>
        <v>R</v>
      </c>
      <c r="Y175" s="235" t="s">
        <v>544</v>
      </c>
      <c r="Z175" s="94"/>
      <c r="AA175" s="112"/>
      <c r="AB175" s="52"/>
      <c r="AC175" s="72"/>
      <c r="AD175" s="51"/>
      <c r="AE175" s="52"/>
      <c r="AF175" s="52"/>
    </row>
    <row r="176" spans="2:32" ht="38.450000000000003" customHeight="1">
      <c r="B176" s="275" t="s">
        <v>42</v>
      </c>
      <c r="C176" s="155" t="s">
        <v>222</v>
      </c>
      <c r="D176" s="206"/>
      <c r="E176" s="221" t="s">
        <v>158</v>
      </c>
      <c r="F176" s="221" t="s">
        <v>288</v>
      </c>
      <c r="G176" s="279"/>
      <c r="H176" s="93"/>
      <c r="I176" s="286" t="s">
        <v>545</v>
      </c>
      <c r="J176" s="91">
        <f>IFERROR(VLOOKUP(C176,'QB Consolidated Contacts'!$A$1:$F$333,6),"-")</f>
        <v>0</v>
      </c>
      <c r="K176" s="276" t="s">
        <v>40</v>
      </c>
      <c r="L176" s="276"/>
      <c r="M176" s="276" t="s">
        <v>108</v>
      </c>
      <c r="N176" s="275"/>
      <c r="O176" s="276"/>
      <c r="P176" s="272" t="s">
        <v>290</v>
      </c>
      <c r="Q176" s="272"/>
      <c r="R176" s="273"/>
      <c r="S176" s="273"/>
      <c r="T176" s="274"/>
      <c r="U176" s="92"/>
      <c r="V176" s="93">
        <f t="shared" si="16"/>
        <v>0</v>
      </c>
      <c r="W176" s="92">
        <f t="shared" ca="1" si="17"/>
        <v>-46093</v>
      </c>
      <c r="X176" s="92" t="str">
        <f ca="1">IF(SOWS[[#This Row],[Days to Contract End]]&lt;=90,"R",IF(AND(SOWS[[#This Row],[Days to Contract End]]&lt;180),"A","G"))</f>
        <v>R</v>
      </c>
      <c r="Y176" s="235" t="s">
        <v>546</v>
      </c>
      <c r="Z176" s="94"/>
      <c r="AA176" s="112"/>
      <c r="AB176" s="52"/>
      <c r="AC176" s="72"/>
      <c r="AD176" s="51"/>
      <c r="AE176" s="52"/>
      <c r="AF176" s="52"/>
    </row>
    <row r="177" spans="2:41" ht="38.450000000000003" customHeight="1">
      <c r="B177" s="275" t="s">
        <v>42</v>
      </c>
      <c r="C177" s="155" t="s">
        <v>222</v>
      </c>
      <c r="D177" s="206"/>
      <c r="E177" s="221" t="s">
        <v>158</v>
      </c>
      <c r="F177" s="221" t="s">
        <v>288</v>
      </c>
      <c r="G177" s="279"/>
      <c r="H177" s="93"/>
      <c r="I177" s="286" t="s">
        <v>547</v>
      </c>
      <c r="J177" s="91">
        <f>IFERROR(VLOOKUP(C177,'QB Consolidated Contacts'!$A$1:$F$333,6),"-")</f>
        <v>0</v>
      </c>
      <c r="K177" s="276" t="s">
        <v>40</v>
      </c>
      <c r="L177" s="276"/>
      <c r="M177" s="276" t="s">
        <v>108</v>
      </c>
      <c r="N177" s="275"/>
      <c r="O177" s="276"/>
      <c r="P177" s="272" t="s">
        <v>290</v>
      </c>
      <c r="Q177" s="272"/>
      <c r="R177" s="273"/>
      <c r="S177" s="273"/>
      <c r="T177" s="274"/>
      <c r="U177" s="92"/>
      <c r="V177" s="93">
        <f t="shared" si="16"/>
        <v>0</v>
      </c>
      <c r="W177" s="92">
        <f t="shared" ca="1" si="17"/>
        <v>-46093</v>
      </c>
      <c r="X177" s="92" t="str">
        <f ca="1">IF(SOWS[[#This Row],[Days to Contract End]]&lt;=90,"R",IF(AND(SOWS[[#This Row],[Days to Contract End]]&lt;180),"A","G"))</f>
        <v>R</v>
      </c>
      <c r="Y177" s="235" t="s">
        <v>548</v>
      </c>
      <c r="Z177" s="94"/>
      <c r="AA177" s="112"/>
      <c r="AB177" s="52"/>
      <c r="AC177" s="72"/>
      <c r="AD177" s="51"/>
      <c r="AE177" s="52"/>
      <c r="AF177" s="52"/>
    </row>
    <row r="178" spans="2:41" ht="38.450000000000003" customHeight="1">
      <c r="B178" s="275" t="s">
        <v>42</v>
      </c>
      <c r="C178" s="155" t="s">
        <v>222</v>
      </c>
      <c r="D178" s="206"/>
      <c r="E178" s="221" t="s">
        <v>158</v>
      </c>
      <c r="F178" s="221" t="s">
        <v>288</v>
      </c>
      <c r="G178" s="279"/>
      <c r="H178" s="93"/>
      <c r="I178" s="286" t="s">
        <v>549</v>
      </c>
      <c r="J178" s="91">
        <f>IFERROR(VLOOKUP(C178,'QB Consolidated Contacts'!$A$1:$F$333,6),"-")</f>
        <v>0</v>
      </c>
      <c r="K178" s="276" t="s">
        <v>40</v>
      </c>
      <c r="L178" s="276"/>
      <c r="M178" s="276" t="s">
        <v>108</v>
      </c>
      <c r="N178" s="275"/>
      <c r="O178" s="276"/>
      <c r="P178" s="272" t="s">
        <v>290</v>
      </c>
      <c r="Q178" s="272"/>
      <c r="R178" s="273"/>
      <c r="S178" s="273"/>
      <c r="T178" s="274"/>
      <c r="U178" s="92"/>
      <c r="V178" s="93">
        <f t="shared" si="16"/>
        <v>0</v>
      </c>
      <c r="W178" s="92">
        <f t="shared" ca="1" si="17"/>
        <v>-46093</v>
      </c>
      <c r="X178" s="92" t="str">
        <f ca="1">IF(SOWS[[#This Row],[Days to Contract End]]&lt;=90,"R",IF(AND(SOWS[[#This Row],[Days to Contract End]]&lt;180),"A","G"))</f>
        <v>R</v>
      </c>
      <c r="Y178" s="235" t="s">
        <v>550</v>
      </c>
      <c r="Z178" s="94"/>
      <c r="AA178" s="112"/>
      <c r="AB178" s="52"/>
      <c r="AC178" s="72"/>
      <c r="AD178" s="51"/>
      <c r="AE178" s="52"/>
      <c r="AF178" s="52"/>
    </row>
    <row r="179" spans="2:41" ht="38.450000000000003" customHeight="1">
      <c r="B179" s="275" t="s">
        <v>42</v>
      </c>
      <c r="C179" s="155" t="s">
        <v>222</v>
      </c>
      <c r="D179" s="206"/>
      <c r="E179" s="221" t="s">
        <v>158</v>
      </c>
      <c r="F179" s="221" t="s">
        <v>288</v>
      </c>
      <c r="G179" s="279"/>
      <c r="H179" s="93"/>
      <c r="I179" s="286" t="s">
        <v>551</v>
      </c>
      <c r="J179" s="91">
        <f>IFERROR(VLOOKUP(C179,'QB Consolidated Contacts'!$A$1:$F$333,6),"-")</f>
        <v>0</v>
      </c>
      <c r="K179" s="276" t="s">
        <v>40</v>
      </c>
      <c r="L179" s="276"/>
      <c r="M179" s="276" t="s">
        <v>108</v>
      </c>
      <c r="N179" s="275"/>
      <c r="O179" s="276"/>
      <c r="P179" s="272" t="s">
        <v>290</v>
      </c>
      <c r="Q179" s="272"/>
      <c r="R179" s="273"/>
      <c r="S179" s="273"/>
      <c r="T179" s="274"/>
      <c r="U179" s="92"/>
      <c r="V179" s="93">
        <f t="shared" si="16"/>
        <v>0</v>
      </c>
      <c r="W179" s="92">
        <f t="shared" ca="1" si="17"/>
        <v>-46093</v>
      </c>
      <c r="X179" s="92" t="str">
        <f ca="1">IF(SOWS[[#This Row],[Days to Contract End]]&lt;=90,"R",IF(AND(SOWS[[#This Row],[Days to Contract End]]&lt;180),"A","G"))</f>
        <v>R</v>
      </c>
      <c r="Y179" s="235" t="s">
        <v>552</v>
      </c>
      <c r="Z179" s="94"/>
      <c r="AA179" s="112"/>
      <c r="AB179" s="52"/>
      <c r="AC179" s="72"/>
      <c r="AD179" s="51"/>
      <c r="AE179" s="52"/>
      <c r="AF179" s="52"/>
    </row>
    <row r="180" spans="2:41" ht="38.450000000000003" customHeight="1">
      <c r="B180" s="275" t="s">
        <v>42</v>
      </c>
      <c r="C180" s="155" t="s">
        <v>553</v>
      </c>
      <c r="D180" s="206" t="s">
        <v>174</v>
      </c>
      <c r="E180" s="221" t="s">
        <v>158</v>
      </c>
      <c r="F180" s="221" t="s">
        <v>175</v>
      </c>
      <c r="G180" s="279"/>
      <c r="H180" s="93"/>
      <c r="I180" s="268" t="s">
        <v>554</v>
      </c>
      <c r="J180" s="91">
        <f>IFERROR(VLOOKUP(C180,'QB Consolidated Contacts'!$A$1:$F$333,6),"-")</f>
        <v>0</v>
      </c>
      <c r="K180" s="276" t="s">
        <v>40</v>
      </c>
      <c r="L180" s="276"/>
      <c r="M180" s="276"/>
      <c r="N180" s="275"/>
      <c r="O180" s="276"/>
      <c r="P180" s="272"/>
      <c r="Q180" s="272"/>
      <c r="R180" s="273"/>
      <c r="S180" s="273"/>
      <c r="T180" s="274"/>
      <c r="U180" s="92"/>
      <c r="V180" s="93">
        <f t="shared" si="16"/>
        <v>0</v>
      </c>
      <c r="W180" s="92">
        <f t="shared" ca="1" si="17"/>
        <v>-46093</v>
      </c>
      <c r="X180" s="92" t="str">
        <f ca="1">IF(SOWS[[#This Row],[Days to Contract End]]&lt;=90,"R",IF(AND(SOWS[[#This Row],[Days to Contract End]]&lt;180),"A","G"))</f>
        <v>R</v>
      </c>
      <c r="Y180" s="235"/>
      <c r="Z180" s="94"/>
      <c r="AA180" s="112"/>
      <c r="AB180" s="52"/>
      <c r="AC180" s="72"/>
      <c r="AD180" s="51"/>
      <c r="AE180" s="52"/>
      <c r="AF180" s="52"/>
    </row>
    <row r="181" spans="2:41" ht="38.450000000000003" customHeight="1">
      <c r="B181" s="275" t="s">
        <v>42</v>
      </c>
      <c r="C181" s="155" t="s">
        <v>553</v>
      </c>
      <c r="D181" s="206" t="s">
        <v>174</v>
      </c>
      <c r="E181" s="221" t="s">
        <v>158</v>
      </c>
      <c r="F181" s="221" t="s">
        <v>320</v>
      </c>
      <c r="G181" s="279">
        <v>45681</v>
      </c>
      <c r="H181" s="93">
        <v>45678</v>
      </c>
      <c r="I181" s="266" t="s">
        <v>555</v>
      </c>
      <c r="J181" s="91" t="str">
        <f>IFERROR(VLOOKUP(Agreements!B290,'QB Consolidated Contacts'!$A$1:$F$333,6),"-")</f>
        <v>-</v>
      </c>
      <c r="K181" s="276" t="s">
        <v>39</v>
      </c>
      <c r="L181" s="276" t="s">
        <v>39</v>
      </c>
      <c r="M181" s="276"/>
      <c r="N181" s="275"/>
      <c r="O181" s="276"/>
      <c r="P181" s="272"/>
      <c r="Q181" s="272"/>
      <c r="R181" s="273"/>
      <c r="S181" s="273"/>
      <c r="T181" s="274"/>
      <c r="U181" s="92" t="s">
        <v>220</v>
      </c>
      <c r="V181" s="93" t="str">
        <f t="shared" si="16"/>
        <v/>
      </c>
      <c r="W181" s="92" t="str">
        <f t="shared" ca="1" si="17"/>
        <v/>
      </c>
      <c r="X181" s="92" t="str">
        <f ca="1">IF(SOWS[[#This Row],[Days to Contract End]]&lt;=90,"R",IF(AND(SOWS[[#This Row],[Days to Contract End]]&lt;180),"A","G"))</f>
        <v>G</v>
      </c>
      <c r="Y181" s="235"/>
      <c r="Z181" s="94"/>
      <c r="AA181" s="112"/>
      <c r="AB181" s="52"/>
      <c r="AC181" s="72"/>
      <c r="AD181" s="51"/>
      <c r="AE181" s="52"/>
      <c r="AF181" s="52"/>
    </row>
    <row r="182" spans="2:41" s="57" customFormat="1" ht="38.450000000000003" customHeight="1">
      <c r="B182" s="275" t="s">
        <v>42</v>
      </c>
      <c r="C182" s="155" t="s">
        <v>553</v>
      </c>
      <c r="D182" s="206" t="s">
        <v>174</v>
      </c>
      <c r="E182" s="221" t="s">
        <v>158</v>
      </c>
      <c r="F182" s="221" t="s">
        <v>175</v>
      </c>
      <c r="G182" s="279"/>
      <c r="H182" s="93"/>
      <c r="I182" s="267" t="s">
        <v>556</v>
      </c>
      <c r="J182" s="91">
        <f>IFERROR(VLOOKUP(C182,'QB Consolidated Contacts'!$A$1:$F$333,6),"-")</f>
        <v>0</v>
      </c>
      <c r="K182" s="276" t="s">
        <v>40</v>
      </c>
      <c r="L182" s="276"/>
      <c r="M182" s="276" t="s">
        <v>315</v>
      </c>
      <c r="N182" s="275"/>
      <c r="O182" s="276"/>
      <c r="P182" s="272" t="s">
        <v>290</v>
      </c>
      <c r="Q182" s="272"/>
      <c r="R182" s="273"/>
      <c r="S182" s="273"/>
      <c r="T182" s="274">
        <v>405</v>
      </c>
      <c r="U182" s="92"/>
      <c r="V182" s="93">
        <f t="shared" si="16"/>
        <v>0</v>
      </c>
      <c r="W182" s="92">
        <f t="shared" ca="1" si="17"/>
        <v>-46093</v>
      </c>
      <c r="X182" s="92" t="str">
        <f ca="1">IF(SOWS[[#This Row],[Days to Contract End]]&lt;=90,"R",IF(AND(SOWS[[#This Row],[Days to Contract End]]&lt;180),"A","G"))</f>
        <v>R</v>
      </c>
      <c r="Y182" s="235" t="s">
        <v>557</v>
      </c>
      <c r="Z182" s="94"/>
      <c r="AA182" s="112"/>
      <c r="AB182" s="52"/>
      <c r="AC182" s="72"/>
      <c r="AD182" s="51"/>
      <c r="AE182" s="52"/>
      <c r="AF182" s="52"/>
      <c r="AG182" s="52"/>
      <c r="AH182" s="52"/>
      <c r="AI182" s="52"/>
      <c r="AJ182" s="52"/>
      <c r="AK182" s="52"/>
      <c r="AL182" s="52"/>
      <c r="AM182" s="52"/>
      <c r="AN182" s="52"/>
      <c r="AO182" s="52"/>
    </row>
    <row r="183" spans="2:41" ht="38.450000000000003" customHeight="1">
      <c r="B183" s="275" t="s">
        <v>51</v>
      </c>
      <c r="C183" s="155" t="s">
        <v>224</v>
      </c>
      <c r="D183" s="206" t="s">
        <v>132</v>
      </c>
      <c r="E183" s="221" t="s">
        <v>320</v>
      </c>
      <c r="F183" s="221" t="s">
        <v>288</v>
      </c>
      <c r="G183" s="279"/>
      <c r="H183" s="93">
        <v>45345</v>
      </c>
      <c r="I183" s="266" t="s">
        <v>558</v>
      </c>
      <c r="J183" s="278" t="s">
        <v>559</v>
      </c>
      <c r="K183" s="276" t="s">
        <v>39</v>
      </c>
      <c r="L183" s="276" t="s">
        <v>39</v>
      </c>
      <c r="M183" s="276" t="s">
        <v>315</v>
      </c>
      <c r="N183" s="275"/>
      <c r="O183" s="276"/>
      <c r="P183" s="272"/>
      <c r="Q183" s="272"/>
      <c r="R183" s="273"/>
      <c r="S183" s="273"/>
      <c r="T183" s="274"/>
      <c r="U183" s="92" t="s">
        <v>220</v>
      </c>
      <c r="V183" s="93" t="str">
        <f t="shared" si="16"/>
        <v/>
      </c>
      <c r="W183" s="92" t="str">
        <f t="shared" ca="1" si="17"/>
        <v/>
      </c>
      <c r="X183" s="92" t="str">
        <f ca="1">IF(SOWS[[#This Row],[Days to Contract End]]&lt;=90,"R",IF(AND(SOWS[[#This Row],[Days to Contract End]]&lt;180),"A","G"))</f>
        <v>G</v>
      </c>
      <c r="Y183" s="235"/>
      <c r="Z183" s="94"/>
      <c r="AA183" s="112"/>
      <c r="AB183" s="52"/>
      <c r="AC183" s="72"/>
      <c r="AD183" s="51"/>
      <c r="AE183" s="52"/>
      <c r="AF183" s="52"/>
    </row>
    <row r="184" spans="2:41" ht="38.450000000000003" customHeight="1">
      <c r="B184" s="275" t="s">
        <v>51</v>
      </c>
      <c r="C184" s="155" t="s">
        <v>224</v>
      </c>
      <c r="D184" s="206" t="s">
        <v>132</v>
      </c>
      <c r="E184" s="221" t="s">
        <v>158</v>
      </c>
      <c r="F184" s="221" t="s">
        <v>288</v>
      </c>
      <c r="G184" s="279"/>
      <c r="H184" s="93">
        <v>45300</v>
      </c>
      <c r="I184" s="266" t="s">
        <v>560</v>
      </c>
      <c r="J184" s="91" t="s">
        <v>559</v>
      </c>
      <c r="K184" s="276" t="s">
        <v>39</v>
      </c>
      <c r="L184" s="276" t="s">
        <v>39</v>
      </c>
      <c r="M184" s="276" t="s">
        <v>315</v>
      </c>
      <c r="N184" s="275"/>
      <c r="O184" s="276"/>
      <c r="P184" s="272"/>
      <c r="Q184" s="272"/>
      <c r="R184" s="273"/>
      <c r="S184" s="273"/>
      <c r="T184" s="274"/>
      <c r="U184" s="92" t="s">
        <v>46</v>
      </c>
      <c r="V184" s="93" t="str">
        <f t="shared" si="16"/>
        <v/>
      </c>
      <c r="W184" s="92" t="str">
        <f t="shared" ca="1" si="17"/>
        <v/>
      </c>
      <c r="X184" s="92" t="str">
        <f ca="1">IF(SOWS[[#This Row],[Days to Contract End]]&lt;=90,"R",IF(AND(SOWS[[#This Row],[Days to Contract End]]&lt;180),"A","G"))</f>
        <v>G</v>
      </c>
      <c r="Y184" s="235"/>
      <c r="Z184" s="94"/>
      <c r="AA184" s="112"/>
      <c r="AB184" s="52"/>
      <c r="AC184" s="72"/>
      <c r="AD184" s="51"/>
      <c r="AE184" s="52"/>
      <c r="AF184" s="52"/>
    </row>
    <row r="185" spans="2:41" ht="38.450000000000003" customHeight="1">
      <c r="B185" s="275" t="s">
        <v>51</v>
      </c>
      <c r="C185" s="155" t="s">
        <v>224</v>
      </c>
      <c r="D185" s="206" t="s">
        <v>132</v>
      </c>
      <c r="E185" s="221" t="s">
        <v>158</v>
      </c>
      <c r="F185" s="221" t="s">
        <v>288</v>
      </c>
      <c r="G185" s="279"/>
      <c r="H185" s="93">
        <v>44302</v>
      </c>
      <c r="I185" s="267" t="s">
        <v>561</v>
      </c>
      <c r="J185" s="91" t="s">
        <v>559</v>
      </c>
      <c r="K185" s="276" t="s">
        <v>39</v>
      </c>
      <c r="L185" s="276"/>
      <c r="M185" s="276" t="s">
        <v>315</v>
      </c>
      <c r="N185" s="275"/>
      <c r="O185" s="276"/>
      <c r="P185" s="272"/>
      <c r="Q185" s="272"/>
      <c r="R185" s="273"/>
      <c r="S185" s="273"/>
      <c r="T185" s="274"/>
      <c r="U185" s="92" t="s">
        <v>46</v>
      </c>
      <c r="V185" s="93" t="str">
        <f t="shared" si="16"/>
        <v/>
      </c>
      <c r="W185" s="92" t="str">
        <f t="shared" ca="1" si="17"/>
        <v/>
      </c>
      <c r="X185" s="92" t="str">
        <f ca="1">IF(SOWS[[#This Row],[Days to Contract End]]&lt;=90,"R",IF(AND(SOWS[[#This Row],[Days to Contract End]]&lt;180),"A","G"))</f>
        <v>G</v>
      </c>
      <c r="Y185" s="235" t="s">
        <v>562</v>
      </c>
      <c r="Z185" s="94"/>
      <c r="AA185" s="112"/>
      <c r="AB185" s="52"/>
      <c r="AC185" s="72"/>
      <c r="AD185" s="51"/>
      <c r="AE185" s="52"/>
      <c r="AF185" s="52"/>
    </row>
    <row r="186" spans="2:41" ht="38.450000000000003" customHeight="1">
      <c r="B186" s="275" t="s">
        <v>51</v>
      </c>
      <c r="C186" s="155" t="s">
        <v>224</v>
      </c>
      <c r="D186" s="206" t="s">
        <v>132</v>
      </c>
      <c r="E186" s="221" t="s">
        <v>158</v>
      </c>
      <c r="F186" s="221" t="s">
        <v>175</v>
      </c>
      <c r="G186" s="279"/>
      <c r="H186" s="93">
        <v>45516</v>
      </c>
      <c r="I186" s="243" t="s">
        <v>563</v>
      </c>
      <c r="J186" s="91" t="s">
        <v>559</v>
      </c>
      <c r="K186" s="276" t="s">
        <v>39</v>
      </c>
      <c r="L186" s="276" t="s">
        <v>39</v>
      </c>
      <c r="M186" s="276" t="s">
        <v>315</v>
      </c>
      <c r="N186" s="275" t="s">
        <v>564</v>
      </c>
      <c r="O186" s="276"/>
      <c r="P186" s="272"/>
      <c r="Q186" s="272"/>
      <c r="R186" s="273"/>
      <c r="S186" s="273"/>
      <c r="T186" s="274"/>
      <c r="U186" s="92" t="s">
        <v>46</v>
      </c>
      <c r="V186" s="93" t="str">
        <f t="shared" si="16"/>
        <v/>
      </c>
      <c r="W186" s="92" t="str">
        <f t="shared" ca="1" si="17"/>
        <v/>
      </c>
      <c r="X186" s="92" t="str">
        <f ca="1">IF(SOWS[[#This Row],[Days to Contract End]]&lt;=90,"R",IF(AND(SOWS[[#This Row],[Days to Contract End]]&lt;180),"A","G"))</f>
        <v>G</v>
      </c>
      <c r="Y186" s="235"/>
      <c r="Z186" s="94"/>
      <c r="AA186" s="112"/>
      <c r="AB186" s="52"/>
      <c r="AC186" s="72"/>
      <c r="AD186" s="51"/>
      <c r="AE186" s="52"/>
      <c r="AF186" s="52"/>
    </row>
    <row r="187" spans="2:41" ht="38.450000000000003" customHeight="1">
      <c r="B187" s="275" t="s">
        <v>42</v>
      </c>
      <c r="C187" s="155" t="s">
        <v>227</v>
      </c>
      <c r="D187" s="206" t="s">
        <v>132</v>
      </c>
      <c r="E187" s="221" t="s">
        <v>158</v>
      </c>
      <c r="F187" s="221" t="s">
        <v>288</v>
      </c>
      <c r="G187" s="279"/>
      <c r="H187" s="93">
        <v>44105</v>
      </c>
      <c r="I187" s="267" t="s">
        <v>565</v>
      </c>
      <c r="J187" s="91">
        <f>IFERROR(VLOOKUP(C187,'QB Consolidated Contacts'!$A$1:$F$333,6),"-")</f>
        <v>0</v>
      </c>
      <c r="K187" s="276" t="s">
        <v>39</v>
      </c>
      <c r="L187" s="276" t="s">
        <v>40</v>
      </c>
      <c r="M187" s="276" t="s">
        <v>315</v>
      </c>
      <c r="N187" s="275"/>
      <c r="O187" s="276"/>
      <c r="P187" s="272" t="s">
        <v>290</v>
      </c>
      <c r="Q187" s="272"/>
      <c r="R187" s="273">
        <v>4000</v>
      </c>
      <c r="S187" s="273"/>
      <c r="T187" s="274"/>
      <c r="U187" s="92">
        <v>12</v>
      </c>
      <c r="V187" s="93">
        <f>IFERROR(EOMONTH(H187,U187),"")</f>
        <v>44500</v>
      </c>
      <c r="W187" s="92">
        <f t="shared" ca="1" si="17"/>
        <v>-1593</v>
      </c>
      <c r="X187" s="92" t="str">
        <f ca="1">IF(SOWS[[#This Row],[Days to Contract End]]&lt;=90,"R",IF(AND(SOWS[[#This Row],[Days to Contract End]]&lt;180),"A","G"))</f>
        <v>R</v>
      </c>
      <c r="Y187" s="235" t="s">
        <v>566</v>
      </c>
      <c r="Z187" s="94"/>
      <c r="AA187" s="112"/>
      <c r="AB187" s="52"/>
      <c r="AC187" s="72"/>
      <c r="AD187" s="51"/>
      <c r="AE187" s="52"/>
      <c r="AF187" s="52"/>
    </row>
    <row r="188" spans="2:41" ht="38.450000000000003" customHeight="1">
      <c r="B188" s="275" t="s">
        <v>42</v>
      </c>
      <c r="C188" s="155" t="s">
        <v>228</v>
      </c>
      <c r="D188" s="206" t="s">
        <v>132</v>
      </c>
      <c r="E188" s="221" t="s">
        <v>158</v>
      </c>
      <c r="F188" s="221" t="s">
        <v>288</v>
      </c>
      <c r="G188" s="279"/>
      <c r="H188" s="93">
        <v>44105</v>
      </c>
      <c r="I188" s="267" t="s">
        <v>567</v>
      </c>
      <c r="J188" s="91">
        <f>IFERROR(VLOOKUP(C188,'QB Consolidated Contacts'!$A$1:$F$333,6),"-")</f>
        <v>0</v>
      </c>
      <c r="K188" s="276" t="s">
        <v>39</v>
      </c>
      <c r="L188" s="276"/>
      <c r="M188" s="276" t="s">
        <v>315</v>
      </c>
      <c r="N188" s="275" t="s">
        <v>40</v>
      </c>
      <c r="O188" s="276"/>
      <c r="P188" s="272" t="s">
        <v>290</v>
      </c>
      <c r="Q188" s="272"/>
      <c r="R188" s="273"/>
      <c r="S188" s="273"/>
      <c r="T188" s="274"/>
      <c r="U188" s="92" t="s">
        <v>46</v>
      </c>
      <c r="V188" s="93" t="str">
        <f t="shared" ref="V188:V201" si="18">IFERROR(EDATE(H188,U188),"")</f>
        <v/>
      </c>
      <c r="W188" s="92" t="str">
        <f t="shared" ca="1" si="17"/>
        <v/>
      </c>
      <c r="X188" s="92" t="str">
        <f ca="1">IF(SOWS[[#This Row],[Days to Contract End]]&lt;=90,"R",IF(AND(SOWS[[#This Row],[Days to Contract End]]&lt;180),"A","G"))</f>
        <v>G</v>
      </c>
      <c r="Y188" s="235" t="s">
        <v>568</v>
      </c>
      <c r="Z188" s="94"/>
      <c r="AA188" s="112"/>
      <c r="AB188" s="52"/>
      <c r="AC188" s="72"/>
      <c r="AD188" s="51"/>
      <c r="AE188" s="52"/>
      <c r="AF188" s="52"/>
    </row>
    <row r="189" spans="2:41" ht="38.450000000000003" customHeight="1">
      <c r="B189" s="275" t="s">
        <v>51</v>
      </c>
      <c r="C189" s="155" t="s">
        <v>228</v>
      </c>
      <c r="D189" s="206" t="s">
        <v>132</v>
      </c>
      <c r="E189" s="221" t="s">
        <v>158</v>
      </c>
      <c r="F189" s="221" t="s">
        <v>175</v>
      </c>
      <c r="G189" s="279">
        <v>45716</v>
      </c>
      <c r="H189" s="93">
        <v>45759</v>
      </c>
      <c r="I189" s="243" t="s">
        <v>569</v>
      </c>
      <c r="J189" s="278" t="str">
        <f>IFERROR(VLOOKUP(Agreements!B277,'QB Consolidated Contacts'!$A$1:$F$333,6),"-")</f>
        <v>-</v>
      </c>
      <c r="K189" s="276" t="s">
        <v>39</v>
      </c>
      <c r="L189" s="276" t="s">
        <v>39</v>
      </c>
      <c r="M189" s="276"/>
      <c r="N189" s="275"/>
      <c r="O189" s="276"/>
      <c r="P189" s="272"/>
      <c r="Q189" s="272"/>
      <c r="R189" s="273"/>
      <c r="S189" s="273"/>
      <c r="T189" s="274"/>
      <c r="U189" s="92"/>
      <c r="V189" s="93">
        <f t="shared" si="18"/>
        <v>45759</v>
      </c>
      <c r="W189" s="92">
        <f ca="1">IFERROR(Agreements!W277-TODAY(),"")</f>
        <v>-46093</v>
      </c>
      <c r="X189" s="92" t="str">
        <f ca="1">IF(SOWS[[#This Row],[Days to Contract End]]&lt;=90,"R",IF(AND(SOWS[[#This Row],[Days to Contract End]]&lt;180),"A","G"))</f>
        <v>R</v>
      </c>
      <c r="Y189" s="235"/>
      <c r="Z189" s="94"/>
      <c r="AA189" s="112"/>
      <c r="AB189" s="52"/>
      <c r="AC189" s="72"/>
      <c r="AD189" s="51"/>
      <c r="AE189" s="52"/>
      <c r="AF189" s="52"/>
    </row>
    <row r="190" spans="2:41" ht="38.450000000000003" customHeight="1">
      <c r="B190" s="275" t="s">
        <v>42</v>
      </c>
      <c r="C190" s="155" t="s">
        <v>229</v>
      </c>
      <c r="D190" s="206" t="s">
        <v>132</v>
      </c>
      <c r="E190" s="221" t="s">
        <v>158</v>
      </c>
      <c r="F190" s="221" t="s">
        <v>175</v>
      </c>
      <c r="G190" s="279"/>
      <c r="H190" s="93">
        <v>44378</v>
      </c>
      <c r="I190" s="323" t="s">
        <v>570</v>
      </c>
      <c r="J190" s="91">
        <f>IFERROR(VLOOKUP(C190,'QB Consolidated Contacts'!$A$1:$F$333,6),"-")</f>
        <v>0</v>
      </c>
      <c r="K190" s="276" t="s">
        <v>39</v>
      </c>
      <c r="L190" s="276"/>
      <c r="M190" s="276" t="s">
        <v>315</v>
      </c>
      <c r="N190" s="275"/>
      <c r="O190" s="276"/>
      <c r="P190" s="272" t="s">
        <v>571</v>
      </c>
      <c r="Q190" s="272"/>
      <c r="R190" s="273"/>
      <c r="S190" s="273"/>
      <c r="T190" s="274"/>
      <c r="U190" s="92" t="s">
        <v>46</v>
      </c>
      <c r="V190" s="93" t="str">
        <f t="shared" si="18"/>
        <v/>
      </c>
      <c r="W190" s="92" t="str">
        <f ca="1">IFERROR(V190-TODAY(),"")</f>
        <v/>
      </c>
      <c r="X190" s="92" t="str">
        <f ca="1">IF(SOWS[[#This Row],[Days to Contract End]]&lt;=90,"R",IF(AND(SOWS[[#This Row],[Days to Contract End]]&lt;180),"A","G"))</f>
        <v>G</v>
      </c>
      <c r="Y190" s="235"/>
      <c r="Z190" s="94"/>
      <c r="AA190" s="112"/>
      <c r="AB190" s="52"/>
      <c r="AC190" s="72"/>
      <c r="AD190" s="51"/>
      <c r="AE190" s="52"/>
      <c r="AF190" s="52"/>
    </row>
    <row r="191" spans="2:41" ht="38.450000000000003" customHeight="1">
      <c r="B191" s="275"/>
      <c r="C191" s="155" t="s">
        <v>229</v>
      </c>
      <c r="D191" s="206"/>
      <c r="E191" s="221" t="s">
        <v>158</v>
      </c>
      <c r="F191" s="221" t="s">
        <v>175</v>
      </c>
      <c r="G191" s="279"/>
      <c r="H191" s="93"/>
      <c r="I191" s="268" t="s">
        <v>572</v>
      </c>
      <c r="J191" s="91">
        <f>IFERROR(VLOOKUP(C191,'QB Consolidated Contacts'!$A$1:$F$333,6),"-")</f>
        <v>0</v>
      </c>
      <c r="K191" s="276"/>
      <c r="L191" s="276"/>
      <c r="M191" s="276"/>
      <c r="N191" s="275"/>
      <c r="O191" s="276"/>
      <c r="P191" s="272"/>
      <c r="Q191" s="272"/>
      <c r="R191" s="273"/>
      <c r="S191" s="273"/>
      <c r="T191" s="274"/>
      <c r="U191" s="92"/>
      <c r="V191" s="93">
        <f t="shared" si="18"/>
        <v>0</v>
      </c>
      <c r="W191" s="92">
        <f ca="1">IFERROR(V191-TODAY(),"")</f>
        <v>-46093</v>
      </c>
      <c r="X191" s="92" t="str">
        <f ca="1">IF(SOWS[[#This Row],[Days to Contract End]]&lt;=90,"R",IF(AND(SOWS[[#This Row],[Days to Contract End]]&lt;180),"A","G"))</f>
        <v>R</v>
      </c>
      <c r="Y191" s="235"/>
      <c r="Z191" s="94"/>
      <c r="AA191" s="112"/>
      <c r="AB191" s="52"/>
      <c r="AC191" s="72"/>
      <c r="AD191" s="51"/>
      <c r="AE191" s="52"/>
      <c r="AF191" s="52"/>
    </row>
    <row r="192" spans="2:41" ht="38.450000000000003" customHeight="1">
      <c r="B192" s="275"/>
      <c r="C192" s="155" t="s">
        <v>229</v>
      </c>
      <c r="D192" s="206"/>
      <c r="E192" s="221" t="s">
        <v>158</v>
      </c>
      <c r="F192" s="221" t="s">
        <v>175</v>
      </c>
      <c r="G192" s="279"/>
      <c r="H192" s="93"/>
      <c r="I192" s="268" t="s">
        <v>573</v>
      </c>
      <c r="J192" s="91">
        <f>IFERROR(VLOOKUP(C192,'QB Consolidated Contacts'!$A$1:$F$333,6),"-")</f>
        <v>0</v>
      </c>
      <c r="K192" s="276"/>
      <c r="L192" s="276"/>
      <c r="M192" s="276"/>
      <c r="N192" s="275"/>
      <c r="O192" s="276"/>
      <c r="P192" s="272"/>
      <c r="Q192" s="272"/>
      <c r="R192" s="273"/>
      <c r="S192" s="273"/>
      <c r="T192" s="274"/>
      <c r="U192" s="92"/>
      <c r="V192" s="93">
        <f t="shared" si="18"/>
        <v>0</v>
      </c>
      <c r="W192" s="92">
        <f ca="1">IFERROR(V192-TODAY(),"")</f>
        <v>-46093</v>
      </c>
      <c r="X192" s="92" t="str">
        <f ca="1">IF(SOWS[[#This Row],[Days to Contract End]]&lt;=90,"R",IF(AND(SOWS[[#This Row],[Days to Contract End]]&lt;180),"A","G"))</f>
        <v>R</v>
      </c>
      <c r="Y192" s="235"/>
      <c r="Z192" s="94"/>
      <c r="AA192" s="112"/>
      <c r="AB192" s="52"/>
      <c r="AC192" s="72"/>
      <c r="AD192" s="51"/>
      <c r="AE192" s="52"/>
      <c r="AF192" s="52"/>
    </row>
    <row r="193" spans="2:32" ht="38.450000000000003" customHeight="1">
      <c r="B193" s="275" t="s">
        <v>51</v>
      </c>
      <c r="C193" s="155" t="s">
        <v>230</v>
      </c>
      <c r="D193" s="206" t="s">
        <v>132</v>
      </c>
      <c r="E193" s="221" t="s">
        <v>158</v>
      </c>
      <c r="F193" s="221" t="s">
        <v>288</v>
      </c>
      <c r="G193" s="279"/>
      <c r="H193" s="93"/>
      <c r="I193" s="293" t="s">
        <v>574</v>
      </c>
      <c r="J193" s="91" t="str">
        <f>IFERROR(VLOOKUP(Agreements!B179,'QB Consolidated Contacts'!$A$1:$F$333,6),"-")</f>
        <v>-</v>
      </c>
      <c r="K193" s="276" t="s">
        <v>40</v>
      </c>
      <c r="L193" s="276"/>
      <c r="M193" s="276" t="s">
        <v>347</v>
      </c>
      <c r="N193" s="275"/>
      <c r="O193" s="277"/>
      <c r="P193" s="272"/>
      <c r="Q193" s="272"/>
      <c r="R193" s="273"/>
      <c r="S193" s="273"/>
      <c r="T193" s="274"/>
      <c r="U193" s="92"/>
      <c r="V193" s="93">
        <f t="shared" si="18"/>
        <v>0</v>
      </c>
      <c r="W193" s="92">
        <f ca="1">IFERROR(Agreements!W179-TODAY(),"")</f>
        <v>-46093</v>
      </c>
      <c r="X193" s="92" t="str">
        <f ca="1">IF(SOWS[[#This Row],[Days to Contract End]]&lt;=90,"R",IF(AND(SOWS[[#This Row],[Days to Contract End]]&lt;180),"A","G"))</f>
        <v>R</v>
      </c>
      <c r="Y193" s="235"/>
      <c r="Z193" s="94"/>
      <c r="AA193" s="112"/>
      <c r="AB193" s="52"/>
      <c r="AC193" s="72"/>
      <c r="AD193" s="51"/>
      <c r="AE193" s="52"/>
      <c r="AF193" s="52"/>
    </row>
    <row r="194" spans="2:32" ht="38.450000000000003" customHeight="1">
      <c r="B194" s="275" t="s">
        <v>51</v>
      </c>
      <c r="C194" s="155" t="s">
        <v>230</v>
      </c>
      <c r="D194" s="206" t="s">
        <v>132</v>
      </c>
      <c r="E194" s="221" t="s">
        <v>158</v>
      </c>
      <c r="F194" s="221" t="s">
        <v>288</v>
      </c>
      <c r="G194" s="279"/>
      <c r="H194" s="93">
        <v>45017</v>
      </c>
      <c r="I194" s="266" t="s">
        <v>288</v>
      </c>
      <c r="J194" s="91">
        <f>IFERROR(VLOOKUP(C194,'QB Consolidated Contacts'!$A$1:$F$333,6),"-")</f>
        <v>0</v>
      </c>
      <c r="K194" s="276" t="s">
        <v>39</v>
      </c>
      <c r="L194" s="276" t="s">
        <v>39</v>
      </c>
      <c r="M194" s="276" t="s">
        <v>315</v>
      </c>
      <c r="N194" s="275"/>
      <c r="O194" s="277">
        <v>1004340</v>
      </c>
      <c r="P194" s="272" t="s">
        <v>290</v>
      </c>
      <c r="Q194" s="272"/>
      <c r="R194" s="273"/>
      <c r="S194" s="273"/>
      <c r="T194" s="274"/>
      <c r="U194" s="92">
        <v>12</v>
      </c>
      <c r="V194" s="93">
        <f t="shared" si="18"/>
        <v>45383</v>
      </c>
      <c r="W194" s="92">
        <f ca="1">IFERROR(V194-TODAY(),"")</f>
        <v>-710</v>
      </c>
      <c r="X194" s="92" t="str">
        <f ca="1">IF(SOWS[[#This Row],[Days to Contract End]]&lt;=90,"R",IF(AND(SOWS[[#This Row],[Days to Contract End]]&lt;180),"A","G"))</f>
        <v>R</v>
      </c>
      <c r="Y194" s="235"/>
      <c r="Z194" s="94"/>
      <c r="AA194" s="112"/>
      <c r="AB194" s="52"/>
      <c r="AC194" s="72"/>
      <c r="AD194" s="51"/>
      <c r="AE194" s="52"/>
      <c r="AF194" s="52"/>
    </row>
    <row r="195" spans="2:32" ht="38.450000000000003" customHeight="1">
      <c r="B195" s="275" t="s">
        <v>51</v>
      </c>
      <c r="C195" s="155" t="s">
        <v>230</v>
      </c>
      <c r="D195" s="206" t="s">
        <v>132</v>
      </c>
      <c r="E195" s="221" t="s">
        <v>158</v>
      </c>
      <c r="F195" s="221" t="s">
        <v>175</v>
      </c>
      <c r="G195" s="279"/>
      <c r="H195" s="93">
        <v>45712</v>
      </c>
      <c r="I195" s="253" t="s">
        <v>575</v>
      </c>
      <c r="J195" s="91" t="str">
        <f>IFERROR(VLOOKUP(Agreements!B286,'QB Consolidated Contacts'!$A$1:$F$333,6),"-")</f>
        <v>-</v>
      </c>
      <c r="K195" s="276" t="s">
        <v>39</v>
      </c>
      <c r="L195" s="276" t="s">
        <v>39</v>
      </c>
      <c r="M195" s="276"/>
      <c r="N195" s="275"/>
      <c r="O195" s="276"/>
      <c r="P195" s="272"/>
      <c r="Q195" s="272"/>
      <c r="R195" s="273"/>
      <c r="S195" s="273"/>
      <c r="T195" s="274"/>
      <c r="U195" s="92"/>
      <c r="V195" s="93">
        <f t="shared" si="18"/>
        <v>45712</v>
      </c>
      <c r="W195" s="92">
        <f ca="1">IFERROR(Agreements!W286-TODAY(),"")</f>
        <v>-46093</v>
      </c>
      <c r="X195" s="92" t="str">
        <f ca="1">IF(SOWS[[#This Row],[Days to Contract End]]&lt;=90,"R",IF(AND(SOWS[[#This Row],[Days to Contract End]]&lt;180),"A","G"))</f>
        <v>R</v>
      </c>
      <c r="Y195" s="235"/>
      <c r="Z195" s="94"/>
      <c r="AA195" s="112"/>
      <c r="AB195" s="52"/>
      <c r="AC195" s="72"/>
      <c r="AD195" s="51"/>
      <c r="AE195" s="52"/>
      <c r="AF195" s="52"/>
    </row>
    <row r="196" spans="2:32" ht="38.450000000000003" customHeight="1">
      <c r="B196" s="275" t="s">
        <v>51</v>
      </c>
      <c r="C196" s="155" t="s">
        <v>230</v>
      </c>
      <c r="D196" s="206" t="s">
        <v>132</v>
      </c>
      <c r="E196" s="221" t="s">
        <v>158</v>
      </c>
      <c r="F196" s="221" t="s">
        <v>175</v>
      </c>
      <c r="G196" s="279"/>
      <c r="H196" s="93">
        <v>45194</v>
      </c>
      <c r="I196" s="266" t="s">
        <v>576</v>
      </c>
      <c r="J196" s="91">
        <f>IFERROR(VLOOKUP(C196,'QB Consolidated Contacts'!$A$1:$F$333,6),"-")</f>
        <v>0</v>
      </c>
      <c r="K196" s="276" t="s">
        <v>39</v>
      </c>
      <c r="L196" s="276" t="s">
        <v>39</v>
      </c>
      <c r="M196" s="276" t="s">
        <v>315</v>
      </c>
      <c r="N196" s="275"/>
      <c r="O196" s="276"/>
      <c r="P196" s="272"/>
      <c r="Q196" s="272"/>
      <c r="R196" s="273"/>
      <c r="S196" s="273"/>
      <c r="T196" s="274"/>
      <c r="U196" s="92" t="s">
        <v>220</v>
      </c>
      <c r="V196" s="93" t="str">
        <f t="shared" si="18"/>
        <v/>
      </c>
      <c r="W196" s="92" t="str">
        <f ca="1">IFERROR(V196-TODAY(),"")</f>
        <v/>
      </c>
      <c r="X196" s="92" t="str">
        <f ca="1">IF(SOWS[[#This Row],[Days to Contract End]]&lt;=90,"R",IF(AND(SOWS[[#This Row],[Days to Contract End]]&lt;180),"A","G"))</f>
        <v>G</v>
      </c>
      <c r="Y196" s="235"/>
      <c r="Z196" s="94"/>
      <c r="AA196" s="112"/>
      <c r="AB196" s="52"/>
      <c r="AC196" s="72"/>
      <c r="AD196" s="51"/>
      <c r="AE196" s="52"/>
      <c r="AF196" s="52"/>
    </row>
    <row r="197" spans="2:32" ht="38.450000000000003" customHeight="1">
      <c r="B197" s="275" t="s">
        <v>42</v>
      </c>
      <c r="C197" s="155" t="s">
        <v>234</v>
      </c>
      <c r="D197" s="206" t="s">
        <v>132</v>
      </c>
      <c r="E197" s="221" t="s">
        <v>158</v>
      </c>
      <c r="F197" s="221" t="s">
        <v>175</v>
      </c>
      <c r="G197" s="279"/>
      <c r="H197" s="93">
        <f>+H196</f>
        <v>45194</v>
      </c>
      <c r="I197" s="243" t="s">
        <v>577</v>
      </c>
      <c r="J197" s="278" t="s">
        <v>578</v>
      </c>
      <c r="K197" s="276" t="s">
        <v>39</v>
      </c>
      <c r="L197" s="276" t="s">
        <v>39</v>
      </c>
      <c r="M197" s="276" t="s">
        <v>347</v>
      </c>
      <c r="N197" s="275"/>
      <c r="O197" s="276"/>
      <c r="P197" s="272"/>
      <c r="Q197" s="272"/>
      <c r="R197" s="273"/>
      <c r="S197" s="273"/>
      <c r="T197" s="274"/>
      <c r="U197" s="92" t="s">
        <v>46</v>
      </c>
      <c r="V197" s="93" t="str">
        <f t="shared" si="18"/>
        <v/>
      </c>
      <c r="W197" s="92" t="str">
        <f ca="1">IFERROR(V197-TODAY(),"")</f>
        <v/>
      </c>
      <c r="X197" s="92" t="str">
        <f ca="1">IF(SOWS[[#This Row],[Days to Contract End]]&lt;=90,"R",IF(AND(SOWS[[#This Row],[Days to Contract End]]&lt;180),"A","G"))</f>
        <v>G</v>
      </c>
      <c r="Y197" s="235" t="s">
        <v>579</v>
      </c>
      <c r="Z197" s="94"/>
      <c r="AA197" s="112"/>
      <c r="AB197" s="52"/>
      <c r="AC197" s="72"/>
      <c r="AD197" s="51"/>
      <c r="AE197" s="52"/>
      <c r="AF197" s="52"/>
    </row>
    <row r="198" spans="2:32" ht="38.450000000000003" customHeight="1">
      <c r="B198" s="275" t="s">
        <v>42</v>
      </c>
      <c r="C198" s="155" t="s">
        <v>234</v>
      </c>
      <c r="D198" s="206" t="s">
        <v>132</v>
      </c>
      <c r="E198" s="221" t="s">
        <v>320</v>
      </c>
      <c r="F198" s="221" t="s">
        <v>175</v>
      </c>
      <c r="G198" s="279"/>
      <c r="H198" s="93">
        <v>45597</v>
      </c>
      <c r="I198" s="243" t="s">
        <v>580</v>
      </c>
      <c r="J198" s="278" t="s">
        <v>578</v>
      </c>
      <c r="K198" s="276" t="s">
        <v>39</v>
      </c>
      <c r="L198" s="276" t="s">
        <v>39</v>
      </c>
      <c r="M198" s="276" t="s">
        <v>315</v>
      </c>
      <c r="N198" s="275"/>
      <c r="O198" s="276"/>
      <c r="P198" s="272"/>
      <c r="Q198" s="272"/>
      <c r="R198" s="273"/>
      <c r="S198" s="273"/>
      <c r="T198" s="274"/>
      <c r="U198" s="92" t="s">
        <v>220</v>
      </c>
      <c r="V198" s="93" t="str">
        <f t="shared" si="18"/>
        <v/>
      </c>
      <c r="W198" s="92" t="str">
        <f ca="1">IFERROR(V198-TODAY(),"")</f>
        <v/>
      </c>
      <c r="X198" s="92" t="str">
        <f ca="1">IF(SOWS[[#This Row],[Days to Contract End]]&lt;=90,"R",IF(AND(SOWS[[#This Row],[Days to Contract End]]&lt;180),"A","G"))</f>
        <v>G</v>
      </c>
      <c r="Y198" s="235"/>
      <c r="Z198" s="94"/>
      <c r="AA198" s="112"/>
      <c r="AB198" s="52"/>
      <c r="AC198" s="72"/>
      <c r="AD198" s="51"/>
      <c r="AE198" s="52"/>
      <c r="AF198" s="52"/>
    </row>
    <row r="199" spans="2:32" ht="38.450000000000003" customHeight="1">
      <c r="B199" s="275" t="s">
        <v>42</v>
      </c>
      <c r="C199" s="155" t="s">
        <v>581</v>
      </c>
      <c r="D199" s="206" t="s">
        <v>174</v>
      </c>
      <c r="E199" s="221" t="s">
        <v>158</v>
      </c>
      <c r="F199" s="221" t="s">
        <v>288</v>
      </c>
      <c r="G199" s="279">
        <v>45708</v>
      </c>
      <c r="H199" s="93">
        <v>45708</v>
      </c>
      <c r="I199" s="293" t="s">
        <v>582</v>
      </c>
      <c r="J199" s="285" t="str">
        <f>IFERROR(VLOOKUP(Agreements!B244,'QB Consolidated Contacts'!$A$1:$F$333,6),"-")</f>
        <v>-</v>
      </c>
      <c r="K199" s="276" t="s">
        <v>39</v>
      </c>
      <c r="L199" s="276" t="s">
        <v>39</v>
      </c>
      <c r="M199" s="276"/>
      <c r="N199" s="275"/>
      <c r="O199" s="276"/>
      <c r="P199" s="272"/>
      <c r="Q199" s="272"/>
      <c r="R199" s="273"/>
      <c r="S199" s="273"/>
      <c r="T199" s="274"/>
      <c r="U199" s="92">
        <v>3</v>
      </c>
      <c r="V199" s="93">
        <f t="shared" si="18"/>
        <v>45797</v>
      </c>
      <c r="W199" s="92">
        <f ca="1">IFERROR(Agreements!W244-TODAY(),"")</f>
        <v>-46093</v>
      </c>
      <c r="X199" s="92" t="str">
        <f ca="1">IF(SOWS[[#This Row],[Days to Contract End]]&lt;=90,"R",IF(AND(SOWS[[#This Row],[Days to Contract End]]&lt;180),"A","G"))</f>
        <v>R</v>
      </c>
      <c r="Y199" s="235"/>
      <c r="Z199" s="94"/>
      <c r="AA199" s="112"/>
      <c r="AB199" s="52"/>
      <c r="AC199" s="72"/>
      <c r="AD199" s="51"/>
      <c r="AE199" s="52"/>
      <c r="AF199" s="52"/>
    </row>
    <row r="200" spans="2:32" ht="38.450000000000003" customHeight="1">
      <c r="B200" s="275" t="s">
        <v>42</v>
      </c>
      <c r="C200" s="155" t="s">
        <v>213</v>
      </c>
      <c r="D200" s="206" t="s">
        <v>132</v>
      </c>
      <c r="E200" s="221" t="s">
        <v>158</v>
      </c>
      <c r="F200" s="221" t="s">
        <v>295</v>
      </c>
      <c r="G200" s="279">
        <v>45701</v>
      </c>
      <c r="H200" s="93">
        <v>45705</v>
      </c>
      <c r="I200" s="266" t="s">
        <v>583</v>
      </c>
      <c r="J200" s="278" t="str">
        <f>IFERROR(VLOOKUP(Agreements!B308,'QB Consolidated Contacts'!$A$1:$F$333,6),"-")</f>
        <v>-</v>
      </c>
      <c r="K200" s="276" t="s">
        <v>39</v>
      </c>
      <c r="L200" s="276" t="s">
        <v>39</v>
      </c>
      <c r="M200" s="276"/>
      <c r="N200" s="275"/>
      <c r="O200" s="276"/>
      <c r="P200" s="272"/>
      <c r="Q200" s="272"/>
      <c r="R200" s="273"/>
      <c r="S200" s="273"/>
      <c r="T200" s="274"/>
      <c r="U200" s="92" t="s">
        <v>220</v>
      </c>
      <c r="V200" s="93" t="str">
        <f t="shared" si="18"/>
        <v/>
      </c>
      <c r="W200" s="92">
        <f ca="1">IFERROR(Agreements!V308-TODAY(),"")</f>
        <v>-46093</v>
      </c>
      <c r="X200" s="92" t="str">
        <f ca="1">IF(SOWS[[#This Row],[Days to Contract End]]&lt;=90,"R",IF(AND(SOWS[[#This Row],[Days to Contract End]]&lt;180),"A","G"))</f>
        <v>R</v>
      </c>
      <c r="Y200" s="235"/>
      <c r="Z200" s="94"/>
      <c r="AA200" s="112"/>
      <c r="AB200" s="52"/>
      <c r="AC200" s="72"/>
      <c r="AD200" s="51"/>
      <c r="AE200" s="52"/>
      <c r="AF200" s="52"/>
    </row>
    <row r="201" spans="2:32" ht="38.450000000000003" customHeight="1">
      <c r="B201" s="275"/>
      <c r="D201" s="206"/>
      <c r="E201" s="221"/>
      <c r="F201" s="221"/>
      <c r="G201" s="279"/>
      <c r="H201" s="93"/>
      <c r="I201" s="268"/>
      <c r="J201" s="278" t="str">
        <f>IFERROR(VLOOKUP(Agreements!B309,'QB Consolidated Contacts'!$A$1:$F$333,6),"-")</f>
        <v>-</v>
      </c>
      <c r="K201" s="276"/>
      <c r="L201" s="276"/>
      <c r="M201" s="276"/>
      <c r="N201" s="275"/>
      <c r="O201" s="276"/>
      <c r="P201" s="272"/>
      <c r="Q201" s="272"/>
      <c r="R201" s="273"/>
      <c r="S201" s="273"/>
      <c r="T201" s="274"/>
      <c r="U201" s="92"/>
      <c r="V201" s="93">
        <f t="shared" si="18"/>
        <v>0</v>
      </c>
      <c r="W201" s="92">
        <f ca="1">IFERROR(Agreements!V309-TODAY(),"")</f>
        <v>-46093</v>
      </c>
      <c r="X201" s="92" t="str">
        <f ca="1">IF(SOWS[[#This Row],[Days to Contract End]]&lt;=90,"R",IF(AND(SOWS[[#This Row],[Days to Contract End]]&lt;180),"A","G"))</f>
        <v>R</v>
      </c>
      <c r="Y201" s="235"/>
      <c r="Z201" s="94"/>
      <c r="AA201" s="112"/>
      <c r="AB201" s="52"/>
      <c r="AC201" s="72"/>
      <c r="AD201" s="51"/>
      <c r="AE201" s="52"/>
      <c r="AF201" s="52"/>
    </row>
    <row r="202" spans="2:32" ht="38.450000000000003" customHeight="1">
      <c r="B202" s="275"/>
      <c r="D202" s="206"/>
      <c r="E202" s="221"/>
      <c r="F202" s="221"/>
      <c r="G202" s="279"/>
      <c r="H202" s="93"/>
      <c r="I202" s="268"/>
      <c r="J202" s="278" t="str">
        <f>IFERROR(VLOOKUP(Agreements!B310,'QB Consolidated Contacts'!$A$1:$F$333,6),"-")</f>
        <v>-</v>
      </c>
      <c r="K202" s="276"/>
      <c r="L202" s="276"/>
      <c r="M202" s="276"/>
      <c r="N202" s="275"/>
      <c r="O202" s="276"/>
      <c r="P202" s="272"/>
      <c r="Q202" s="272"/>
      <c r="R202" s="273"/>
      <c r="S202" s="273"/>
      <c r="T202" s="274"/>
      <c r="U202" s="92"/>
      <c r="V202" s="93">
        <f>IFERROR(EDATE(Agreements!T310,Agreements!U310),"")</f>
        <v>0</v>
      </c>
      <c r="W202" s="92">
        <f ca="1">IFERROR(Agreements!V310-TODAY(),"")</f>
        <v>-46093</v>
      </c>
      <c r="X202" s="92" t="str">
        <f ca="1">IF(SOWS[[#This Row],[Days to Contract End]]&lt;=90,"R",IF(AND(SOWS[[#This Row],[Days to Contract End]]&lt;180),"A","G"))</f>
        <v>R</v>
      </c>
      <c r="Y202" s="235"/>
      <c r="Z202" s="94"/>
      <c r="AA202" s="112"/>
      <c r="AB202" s="52"/>
      <c r="AC202" s="72"/>
      <c r="AD202" s="51"/>
      <c r="AE202" s="52"/>
      <c r="AF202" s="52"/>
    </row>
    <row r="203" spans="2:32" ht="38.450000000000003" customHeight="1">
      <c r="B203" s="74"/>
      <c r="C203" s="157" t="s">
        <v>237</v>
      </c>
      <c r="F203" s="210"/>
      <c r="G203" s="105">
        <f>COUNTA(SOWS[Client])</f>
        <v>198</v>
      </c>
      <c r="H203" s="74"/>
      <c r="I203" s="100"/>
      <c r="J203" s="103"/>
      <c r="K203" s="153"/>
      <c r="L203" s="104" t="str">
        <f>IFERROR(VLOOKUP(G203,'QB Consolidated Contacts'!A43:E374,5),"")</f>
        <v/>
      </c>
      <c r="M203" s="74"/>
      <c r="N203" s="74"/>
      <c r="P203" s="106"/>
      <c r="Q203" s="324"/>
      <c r="R203" s="101"/>
      <c r="S203" s="101"/>
      <c r="T203" s="101"/>
      <c r="U203" s="100"/>
      <c r="W203" s="101"/>
      <c r="X203"/>
      <c r="Y203" s="101"/>
      <c r="Z203" s="101"/>
      <c r="AA203" s="107"/>
    </row>
    <row r="204" spans="2:32" ht="38.450000000000003" customHeight="1">
      <c r="L204" s="91" t="str">
        <f>IFERROR(VLOOKUP(C204,'QB Consolidated Contacts'!A44:E375,5),"")</f>
        <v/>
      </c>
      <c r="X204"/>
    </row>
    <row r="205" spans="2:32" ht="38.450000000000003" customHeight="1">
      <c r="L205" s="91" t="str">
        <f>IFERROR(VLOOKUP(C205,'QB Consolidated Contacts'!A45:E376,5),"")</f>
        <v/>
      </c>
      <c r="W205" s="243"/>
    </row>
    <row r="213" spans="5:15" ht="38.450000000000003" customHeight="1">
      <c r="E213" s="57"/>
      <c r="K213" s="140" t="s">
        <v>238</v>
      </c>
      <c r="O213" s="57"/>
    </row>
  </sheetData>
  <conditionalFormatting sqref="V2:V202">
    <cfRule type="cellIs" dxfId="129" priority="5" operator="equal">
      <formula>0</formula>
    </cfRule>
  </conditionalFormatting>
  <conditionalFormatting sqref="W2:W202">
    <cfRule type="cellIs" dxfId="128" priority="6" operator="lessThan">
      <formula>-3000</formula>
    </cfRule>
  </conditionalFormatting>
  <conditionalFormatting sqref="W3:W202">
    <cfRule type="cellIs" dxfId="127" priority="4" operator="between">
      <formula>-4000</formula>
      <formula>90</formula>
    </cfRule>
  </conditionalFormatting>
  <conditionalFormatting sqref="X2:X202 Z170:Z202 AB203:AB1048576">
    <cfRule type="cellIs" dxfId="126" priority="1" operator="equal">
      <formula>"R"</formula>
    </cfRule>
  </conditionalFormatting>
  <conditionalFormatting sqref="X3:X202">
    <cfRule type="cellIs" dxfId="125" priority="2" operator="equal">
      <formula>"A"</formula>
    </cfRule>
    <cfRule type="cellIs" dxfId="124" priority="3" operator="equal">
      <formula>"G"</formula>
    </cfRule>
  </conditionalFormatting>
  <dataValidations count="4">
    <dataValidation type="list" allowBlank="1" showInputMessage="1" showErrorMessage="1" sqref="W203:W1048576">
      <formula1>"Daily, Weekly, Biweekly, Monthly, Quarerly, Yearly, Custom, Block of Hours"</formula1>
    </dataValidation>
    <dataValidation type="list" allowBlank="1" showInputMessage="1" showErrorMessage="1" sqref="M203:N1048576 K3:L202">
      <formula1>"Yes, No"</formula1>
    </dataValidation>
    <dataValidation type="list" allowBlank="1" showInputMessage="1" showErrorMessage="1" sqref="B3:B202">
      <formula1>"VNA, VT"</formula1>
    </dataValidation>
    <dataValidation type="list" allowBlank="1" showInputMessage="1" showErrorMessage="1" sqref="P3:P202">
      <formula1>"-,Daily, Weekly, Biweekly, Monthly, Quarerly, Yearly, Custom, Block of Hours"</formula1>
    </dataValidation>
  </dataValidations>
  <hyperlinks>
    <hyperlink ref="I46" r:id="rId1" display="Viscosity AI -AP Solution-API implementation"/>
    <hyperlink ref="I157" r:id="rId2"/>
    <hyperlink ref="I98" r:id="rId3"/>
    <hyperlink ref="I99" r:id="rId4"/>
    <hyperlink ref="E78" r:id="rId5"/>
    <hyperlink ref="E83" r:id="rId6"/>
    <hyperlink ref="I78" r:id="rId7"/>
    <hyperlink ref="I83" r:id="rId8"/>
    <hyperlink ref="I36" r:id="rId9"/>
    <hyperlink ref="I136" r:id="rId10"/>
    <hyperlink ref="I45" r:id="rId11"/>
    <hyperlink ref="I184" r:id="rId12"/>
    <hyperlink ref="I174" r:id="rId13"/>
    <hyperlink ref="I19" r:id="rId14"/>
    <hyperlink ref="I12" r:id="rId15"/>
    <hyperlink ref="I20" r:id="rId16"/>
    <hyperlink ref="I50" r:id="rId17"/>
    <hyperlink ref="I118" r:id="rId18"/>
    <hyperlink ref="I7" r:id="rId19"/>
    <hyperlink ref="I131" r:id="rId20" display="C:\Users\leisa\Viscosity North America, Inc\VNA- Sales - General\Contracts\MountainWest Pipeline\2 - SOWs\Executed\MOUNTAINWEST_PIPELINE.VNA.RETAINER.JUNE2023.docx.pdf"/>
    <hyperlink ref="I77" r:id="rId21"/>
    <hyperlink ref="I158" r:id="rId22"/>
    <hyperlink ref="I107" r:id="rId23" display="https://viscositynorthamerica.sharepoint.com/sites/VNA-Sales/Shared%20Documents/General/Contracts/IdenTrust/3%20-%20Accounting%20&amp;%20Purchase%20Orders/2023/IDENTRUST%20Performance%20Tuning%202023%20PO-20069.pdf"/>
    <hyperlink ref="I108" r:id="rId24"/>
    <hyperlink ref="I67" r:id="rId25"/>
    <hyperlink ref="I164" r:id="rId26" display="https://viscositynorthamerica.sharepoint.com/sites/VNA-Sales/Shared%20Documents/General/Contracts/Sanofi/2-%20SOW/Executed/Sanofi_SOW-InfrastructureAnalysis_20230511.docx.pdf"/>
    <hyperlink ref="I84" r:id="rId27"/>
    <hyperlink ref="I79" r:id="rId28"/>
    <hyperlink ref="I72" r:id="rId29" display="https://viscositynorthamerica.sharepoint.com/sites/VNA-Sales/Shared%20Documents/General/Contracts/CAP/2%20-%20SOWs/2023/Viscosity%20SOW%202023%20for%20DB%20Migration-V1.0.docx"/>
    <hyperlink ref="O132" r:id="rId30"/>
    <hyperlink ref="I81" r:id="rId31"/>
    <hyperlink ref="I62" r:id="rId32"/>
    <hyperlink ref="I63" r:id="rId33"/>
    <hyperlink ref="I134" r:id="rId34" display="https://viscositynorthamerica.sharepoint.com/sites/VNA-Sales/Shared%20Documents/General/Contracts/National%20Mango%20Board/3%20-%20SOWS/Signed%20SOWs/Viscosity%20North%20America_Mango%20Volume%20Inventory%20System%20Consultant%20Agreement%202021.pdf"/>
    <hyperlink ref="I52" r:id="rId35"/>
    <hyperlink ref="I53" r:id="rId36" display="Data Input/Automation"/>
    <hyperlink ref="I43" r:id="rId37" display="Staff Augmentation"/>
    <hyperlink ref="I144" r:id="rId38"/>
    <hyperlink ref="I100" r:id="rId39" display="ODA Implementation"/>
    <hyperlink ref="I169" r:id="rId40"/>
    <hyperlink ref="O169" r:id="rId41" location="USP00405042.pdf"/>
    <hyperlink ref="O140" r:id="rId42" display="../../Contracts/Oak Ridge National Laboratory/6 - Accounting &amp; Purchase Orders/PO.4000207399.2023.EXA PATCHING.UPGRADE.htm"/>
    <hyperlink ref="I101" r:id="rId43"/>
    <hyperlink ref="I187" r:id="rId44"/>
    <hyperlink ref="I82" r:id="rId45" display="../../Contracts/DISD/5 - Accounting &amp; Purchase Orders/PO_102_922103_0_US.APEX RENEWAL.2023.pdf"/>
    <hyperlink ref="O74" r:id="rId46"/>
    <hyperlink ref="I74" r:id="rId47"/>
    <hyperlink ref="I9" r:id="rId48"/>
    <hyperlink ref="I8" r:id="rId49"/>
    <hyperlink ref="O5" r:id="rId50" display="../../Contracts/ABC Financial/6 - Accounting &amp; Purchase Orders/Viscosity PO23-29200 2023-01-26.pdf"/>
    <hyperlink ref="O194" r:id="rId51" display="../../Contracts/WWCT/6 - Accounting &amp; Purchase Orders/PO1004340 Viscosity Managed Services 2023.pdf"/>
    <hyperlink ref="I59" r:id="rId52"/>
    <hyperlink ref="I185" r:id="rId53"/>
    <hyperlink ref="I165" r:id="rId54"/>
    <hyperlink ref="O68" r:id="rId55" display="../../Contracts/Clario/3 - Accounting &amp; Purchase Orders/Viscosity_PO_550_101102037_01Nov22_US.pdf"/>
    <hyperlink ref="I194" r:id="rId56"/>
    <hyperlink ref="I64" r:id="rId57" display="Database Upgrades Infra-build"/>
    <hyperlink ref="I188" r:id="rId58"/>
    <hyperlink ref="I175" r:id="rId59"/>
    <hyperlink ref="I168" r:id="rId60"/>
    <hyperlink ref="I140" r:id="rId61"/>
    <hyperlink ref="I60" r:id="rId62"/>
    <hyperlink ref="I114" r:id="rId63"/>
    <hyperlink ref="I89" r:id="rId64"/>
    <hyperlink ref="I90" r:id="rId65"/>
    <hyperlink ref="I132" r:id="rId66"/>
    <hyperlink ref="I133" r:id="rId67"/>
    <hyperlink ref="I68" r:id="rId68" display="Linux/Solaris &amp; Oda Support And Managed Services"/>
    <hyperlink ref="I55" r:id="rId69"/>
    <hyperlink ref="I58" r:id="rId70"/>
    <hyperlink ref="O85" r:id="rId71" display="../../Contracts/Dominion Energy/6 - Accounting &amp; Purchase Orders/50162797 Viscosity Change Order 1.VNA SIGNED.PDF"/>
    <hyperlink ref="O86" r:id="rId72" display="../../Contracts/Dominion Energy/6 - Accounting &amp; Purchase Orders/50162702 DEQP Mobile Pipeline- Staff Aug-Purchase Order.Executed PO6MOS..PDF"/>
    <hyperlink ref="O80" r:id="rId73" display="../../Contracts/DISD/6 - Accounting &amp; Purchase Orders/PO 862363- Viscosity.License Assessment 2022.pdf"/>
    <hyperlink ref="O55" r:id="rId74"/>
    <hyperlink ref="I182" r:id="rId75"/>
    <hyperlink ref="I159" r:id="rId76"/>
    <hyperlink ref="I160" r:id="rId77"/>
    <hyperlink ref="E153" r:id="rId78" display="SOW Professional Services"/>
    <hyperlink ref="I153" r:id="rId79" display="Oracle Reports Modernization Phase 6"/>
    <hyperlink ref="I146" r:id="rId80"/>
    <hyperlink ref="I138" r:id="rId81"/>
    <hyperlink ref="I139" r:id="rId82"/>
    <hyperlink ref="I137" r:id="rId83"/>
    <hyperlink ref="I128" r:id="rId84" display="Bucket of Hours for IO Performance Review"/>
    <hyperlink ref="I124" r:id="rId85"/>
    <hyperlink ref="I125" r:id="rId86"/>
    <hyperlink ref="I123" r:id="rId87"/>
    <hyperlink ref="I115" r:id="rId88"/>
    <hyperlink ref="I112" r:id="rId89"/>
    <hyperlink ref="I105" r:id="rId90"/>
    <hyperlink ref="I102" r:id="rId91" display="Migration And Upgrade (not signed)"/>
    <hyperlink ref="I92" r:id="rId92"/>
    <hyperlink ref="I91" r:id="rId93"/>
    <hyperlink ref="I56" r:id="rId94"/>
    <hyperlink ref="I73" r:id="rId95"/>
    <hyperlink ref="I71" r:id="rId96"/>
    <hyperlink ref="I30" r:id="rId97"/>
    <hyperlink ref="I26" r:id="rId98"/>
    <hyperlink ref="I5" r:id="rId99" display="Block of Hours 520"/>
    <hyperlink ref="I4" r:id="rId100" display="FBI Performance &amp; Optimization"/>
    <hyperlink ref="I25" r:id="rId101" display="On Demand Consulting"/>
    <hyperlink ref="J118" r:id="rId102"/>
    <hyperlink ref="J163" r:id="rId103"/>
    <hyperlink ref="J164" r:id="rId104"/>
    <hyperlink ref="I163" r:id="rId105"/>
    <hyperlink ref="I154" r:id="rId106"/>
    <hyperlink ref="I156" r:id="rId107"/>
    <hyperlink ref="J156" r:id="rId108"/>
    <hyperlink ref="J154" r:id="rId109"/>
    <hyperlink ref="J86" r:id="rId110"/>
    <hyperlink ref="J85" r:id="rId111"/>
    <hyperlink ref="I70" r:id="rId112"/>
    <hyperlink ref="I183" r:id="rId113" display="https://viscositynorthamerica.sharepoint.com/sites/VNA-Sales/Shared%20Documents/General/Contracts/Transnetyx/7%20-%20Change%20Orders/TRANSNETYX%20MANAGED%20SERVICES%20CHANGE%20ORDER%202-23-24%20CUSTOMER%20SIGNED.pdf"/>
    <hyperlink ref="I96" r:id="rId114"/>
    <hyperlink ref="I57" r:id="rId115" display="../../../../../../:b:/s/VNA-Sales/EWWMkPXy4TNElIf3Ull4e_MBVlGe5fnzA8mFicYiRA0OcQ?e=Tu68UO"/>
    <hyperlink ref="I198" r:id="rId116" display="../../../../../../:b:/s/VNA-Sales/Ea_Es765TtJHj5e_IGMUoIUB42PG4dNbrfKFbKN6TjlfFA?e=rJunN9"/>
    <hyperlink ref="I197" r:id="rId117" display="../../../../../../:b:/s/VNA-Sales/ERqtuRE0YjlDnu8VWkkkw28BjtSQ4xHFVHvrxa6giY6V3g?e=15aS92"/>
    <hyperlink ref="I65" r:id="rId118" display="../../../../../../:w:/s/VNA-Sales/EVb9OxjyGpJOj4mJ7Mm5t9sBqrKjcMtFL_9GLqk5H9mJFQ?e=GiE9XG"/>
    <hyperlink ref="I145" r:id="rId119" display="../../../../../../:b:/s/VNA-Sales/EaMphwt4YVNDuKaOKECtnisBI9ubQpajolLTluEkeW2OHw?e=FKs0UF"/>
    <hyperlink ref="I66" r:id="rId120"/>
    <hyperlink ref="I111" r:id="rId121" display="../../../../../../:b:/s/VNA-Sales/EY4roQgft0RGpSdBRF-AobAB1UImCEpSYa9wGnOyCD8FZA?e=DZA8et"/>
    <hyperlink ref="I61" r:id="rId122" display="../../../../../../:w:/s/VNA-Sales/ERojC1Sp7AlLuenqu4Z8xtYBOFpVmKzkMlxr67SKqi6Cpg?e=aNsNjh"/>
    <hyperlink ref="I120" r:id="rId123" display="../../../../../../:w:/s/VNA-Sales/EQJjvRJdbXdJmOe3YNYqC28BHFprx09sVjkbyP9zcwnhjw?e=ytyIw7"/>
    <hyperlink ref="I94" r:id="rId124" display="https://viscositynorthamerica.sharepoint.com/:b:/s/VNA-Sales/EaWYZksi1SdAo247Ey8MGpQBt3eSDf3T2hlxZzRI55CClA?e=FblN1X"/>
    <hyperlink ref="I87" r:id="rId125" display="../../../../../../:b:/s/VNA-Sales/Ead7sTgbtjFJqD75B8mITusBt5OSca_D6W7qxWRQbapxbw?e=5hTG3w"/>
    <hyperlink ref="I129" r:id="rId126" display="../../../../../../:b:/s/VNA-Sales/Ealz3aq4wpxBk4zTiNTfnyYByi0M2V_koTnxpvNqP-1u-w?e=06FB26"/>
    <hyperlink ref="I21" r:id="rId127" display="../../../../../../:b:/s/VNA-Sales/EQN11q4nYLFJl2t78KofOxoBqNtv5oOHRKrLUkmWFvjgxQ?e=odcKqK"/>
    <hyperlink ref="I122" r:id="rId128" display="../../../../../../:b:/s/VNA-Sales/EXhhBD32CU1Fu8cC4ekyClIBp_hP3zuuvEfF9SfrcYDCag?e=QOAb4i"/>
    <hyperlink ref="N122" r:id="rId129" display="../../../../../../:b:/s/VNA-Sales/EWBm6som3mhHldsHy2GOKdMB4M-mVpXSXWLJ6pwGGddtrQ?e=tdOcH6"/>
    <hyperlink ref="I88" r:id="rId130" display="../../../../../../:b:/s/VNA-Sales/EV0U-XB8GPJIktByqkd8xi8B1FMyzpp9-4IWzOghimlpqA?e=fKqjNk"/>
    <hyperlink ref="I186" r:id="rId131" display="../../../../../../:b:/s/VNA-Sales/ERxvGvuW-ZNLt_9lFMZxcaYBXqWLatAgqxPNNkkgzCxyKg?e=oAFWB6"/>
    <hyperlink ref="I42" r:id="rId132" display="../../../../../../:b:/s/VNA-Sales/Ea_YNfW0LVZCiEYnzl0wuRMBQ9J0jmI1xJxapTESXkVepQ?e=l1s97S"/>
    <hyperlink ref="I104" r:id="rId133" display="../../../../../../:b:/s/VNA-Sales/Ecza9TkD1hlPvkIunnI3DIEBBG3KNQwtMy6steVezhgw6w?e=qorXvI"/>
    <hyperlink ref="I106" r:id="rId134"/>
    <hyperlink ref="O104" r:id="rId135" display="../../../../../../:b:/s/VNA-Sales/EbWlAHphs9VIrBXyq3Hv3VgBsgCkRl9h2DPx2graVPE-5g?e=vmNLN2"/>
    <hyperlink ref="I95" r:id="rId136"/>
    <hyperlink ref="I40" r:id="rId137" display="../../../../../../:b:/s/VNA-Sales/EZQTbr6AzvZIrVZ2TS8HS1MBy8rjuLQJaCE2IjU2QKgdgA?e=Be69oU"/>
    <hyperlink ref="I41" r:id="rId138" display="../../../../../../:b:/s/VNA-Sales/EXbSJNvU_nBGs9TVRa9VKOEBega2KwHXMssDpX6ECoL_DA?e=OrSdD8"/>
    <hyperlink ref="I162" r:id="rId139" display="https://viscositynorthamerica.sharepoint.com/:b:/s/VNA-Sales/EX7Xm9vsLKxCjEVaoCbKbCcB7FuVjAIoN8gBbFbGl5mpWA?e=UZJKxm"/>
    <hyperlink ref="I196" r:id="rId140"/>
    <hyperlink ref="I143" r:id="rId141"/>
    <hyperlink ref="I141" r:id="rId142"/>
    <hyperlink ref="I47" r:id="rId143" display="../../../../../../:b:/s/VNA-Sales/Ea3VO3_9CpREpywsCBUXiSUBQxD1f9Q6qn0evoYFaQ0AMg?e=dLl6bc"/>
    <hyperlink ref="I69" r:id="rId144" display="https://viscositynorthamerica.sharepoint.com/:b:/s/VNA-Sales/EZMg1df96QhNhUHp70JCvOcBS-uYl_8bCED5cZM_01QwNQ?e=WScxaS"/>
    <hyperlink ref="I27" r:id="rId145" display="../../../../../../:b:/s/VNA-Sales/ESpz76dXWb1KrDgblEUtSaIBriYrbvTxu_CG8OxoKkZSnA?e=OI79Gh"/>
    <hyperlink ref="N127" r:id="rId146" display="../../../../../../:b:/s/VNA-Sales/EWunVm05z6BIshGrmnGQn70BrHGrJZK0vVYia72m4I3dVQ?e=oH29wn"/>
    <hyperlink ref="I39" r:id="rId147"/>
    <hyperlink ref="I35" r:id="rId148"/>
    <hyperlink ref="I34" r:id="rId149"/>
    <hyperlink ref="I37" r:id="rId150"/>
    <hyperlink ref="I193" r:id="rId151" display="../../../../../../:w:/s/VNA-Sales/Ed3zUcJG0gVHjF3yko__vfsB4Nl5JzXYxCn4DVd_-G5DrQ?e=iTzOd7"/>
    <hyperlink ref="I171" r:id="rId152"/>
    <hyperlink ref="I117" r:id="rId153"/>
    <hyperlink ref="I97" r:id="rId154"/>
    <hyperlink ref="I166" r:id="rId155"/>
    <hyperlink ref="I13" r:id="rId156"/>
    <hyperlink ref="I15" r:id="rId157"/>
    <hyperlink ref="I18" r:id="rId158"/>
    <hyperlink ref="I173" r:id="rId159"/>
    <hyperlink ref="I172" r:id="rId160"/>
    <hyperlink ref="I127" r:id="rId161"/>
    <hyperlink ref="I126" r:id="rId162"/>
    <hyperlink ref="I32" r:id="rId163"/>
    <hyperlink ref="I31" r:id="rId164"/>
    <hyperlink ref="I14" r:id="rId165"/>
    <hyperlink ref="I11" r:id="rId166"/>
    <hyperlink ref="I149" r:id="rId167"/>
    <hyperlink ref="I152" r:id="rId168"/>
    <hyperlink ref="I17" r:id="rId169"/>
    <hyperlink ref="I51" r:id="rId170"/>
    <hyperlink ref="I195" r:id="rId171" display="VNA WWCT Legacy DB Migration 17Feb25 final.docx"/>
    <hyperlink ref="I16" r:id="rId172"/>
    <hyperlink ref="I103" r:id="rId173"/>
    <hyperlink ref="I3" r:id="rId174"/>
    <hyperlink ref="I150" r:id="rId175"/>
    <hyperlink ref="I76" r:id="rId176"/>
    <hyperlink ref="I6" r:id="rId177"/>
    <hyperlink ref="I23" r:id="rId178"/>
    <hyperlink ref="I24" r:id="rId179"/>
    <hyperlink ref="I49" r:id="rId180"/>
    <hyperlink ref="I135" r:id="rId181"/>
    <hyperlink ref="I109" r:id="rId182"/>
    <hyperlink ref="I119" r:id="rId183"/>
    <hyperlink ref="I151" r:id="rId184"/>
    <hyperlink ref="I189" r:id="rId185"/>
    <hyperlink ref="I199" r:id="rId186"/>
    <hyperlink ref="I200" r:id="rId187"/>
    <hyperlink ref="I181" r:id="rId188"/>
    <hyperlink ref="I155" r:id="rId189"/>
  </hyperlinks>
  <pageMargins left="0.7" right="0.7" top="0.75" bottom="0.75" header="0.3" footer="0.3"/>
  <pageSetup orientation="portrait" r:id="rId190"/>
  <legacyDrawing r:id="rId191"/>
  <tableParts count="1">
    <tablePart r:id="rId192"/>
  </tableParts>
  <extLst>
    <ext xmlns:x14="http://schemas.microsoft.com/office/spreadsheetml/2009/9/main" uri="{CCE6A557-97BC-4b89-ADB6-D9C93CAAB3DF}">
      <x14:dataValidations xmlns:xm="http://schemas.microsoft.com/office/excel/2006/main" count="4">
        <x14:dataValidation type="list" allowBlank="1" showInputMessage="1" showErrorMessage="1">
          <x14:formula1>
            <xm:f>'Settings &amp; Instructions'!$D$2:$D$6</xm:f>
          </x14:formula1>
          <xm:sqref>F203:F1048576 D3:D202</xm:sqref>
        </x14:dataValidation>
        <x14:dataValidation type="list" allowBlank="1" showInputMessage="1" showErrorMessage="1">
          <x14:formula1>
            <xm:f>'Settings &amp; Instructions'!$A$2:$A$19</xm:f>
          </x14:formula1>
          <xm:sqref>E3:E202</xm:sqref>
        </x14:dataValidation>
        <x14:dataValidation type="list" allowBlank="1" showInputMessage="1" showErrorMessage="1">
          <x14:formula1>
            <xm:f>'Settings &amp; Instructions'!$E$2:$E$7</xm:f>
          </x14:formula1>
          <xm:sqref>M3:M202</xm:sqref>
        </x14:dataValidation>
        <x14:dataValidation type="list" allowBlank="1" showInputMessage="1" showErrorMessage="1">
          <x14:formula1>
            <xm:f>'Settings &amp; Instructions'!$C$2:$C$14</xm:f>
          </x14:formula1>
          <xm:sqref>F3:F202</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tabColor rgb="FFEEACAC"/>
  </sheetPr>
  <dimension ref="A1:B20"/>
  <sheetViews>
    <sheetView workbookViewId="0">
      <selection activeCell="A17" sqref="A17"/>
    </sheetView>
  </sheetViews>
  <sheetFormatPr defaultRowHeight="15"/>
  <cols>
    <col min="1" max="1" width="51.85546875" bestFit="1" customWidth="1"/>
    <col min="2" max="2" width="17.85546875" bestFit="1" customWidth="1"/>
    <col min="3" max="3" width="11.85546875" bestFit="1" customWidth="1"/>
    <col min="4" max="4" width="55.140625" bestFit="1" customWidth="1"/>
    <col min="5" max="5" width="86.5703125" bestFit="1" customWidth="1"/>
    <col min="6" max="6" width="72.7109375" bestFit="1" customWidth="1"/>
    <col min="7" max="7" width="25.28515625" bestFit="1" customWidth="1"/>
    <col min="8" max="8" width="39" bestFit="1" customWidth="1"/>
    <col min="9" max="9" width="7.28515625" bestFit="1" customWidth="1"/>
    <col min="10" max="10" width="11.42578125" bestFit="1" customWidth="1"/>
    <col min="11" max="11" width="34.7109375" bestFit="1" customWidth="1"/>
    <col min="12" max="12" width="23.140625" bestFit="1" customWidth="1"/>
    <col min="13" max="13" width="72.85546875" bestFit="1" customWidth="1"/>
    <col min="14" max="14" width="24.42578125" bestFit="1" customWidth="1"/>
    <col min="15" max="15" width="45.5703125" bestFit="1" customWidth="1"/>
    <col min="16" max="16" width="22.7109375" bestFit="1" customWidth="1"/>
    <col min="17" max="17" width="21.42578125" bestFit="1" customWidth="1"/>
    <col min="18" max="18" width="12" bestFit="1" customWidth="1"/>
    <col min="19" max="19" width="38.28515625" bestFit="1" customWidth="1"/>
    <col min="20" max="20" width="16.85546875" bestFit="1" customWidth="1"/>
    <col min="21" max="21" width="54.7109375" bestFit="1" customWidth="1"/>
    <col min="22" max="22" width="68.5703125" bestFit="1" customWidth="1"/>
    <col min="23" max="23" width="79.85546875" bestFit="1" customWidth="1"/>
    <col min="24" max="24" width="55.5703125" bestFit="1" customWidth="1"/>
    <col min="25" max="25" width="18.85546875" bestFit="1" customWidth="1"/>
    <col min="26" max="26" width="24.5703125" bestFit="1" customWidth="1"/>
    <col min="27" max="27" width="22.140625" bestFit="1" customWidth="1"/>
    <col min="28" max="28" width="26.42578125" bestFit="1" customWidth="1"/>
    <col min="29" max="29" width="26.140625" bestFit="1" customWidth="1"/>
    <col min="30" max="30" width="23.140625" bestFit="1" customWidth="1"/>
    <col min="31" max="31" width="28.42578125" bestFit="1" customWidth="1"/>
    <col min="32" max="32" width="21.5703125" bestFit="1" customWidth="1"/>
    <col min="33" max="33" width="20.85546875" bestFit="1" customWidth="1"/>
    <col min="34" max="34" width="26.42578125" bestFit="1" customWidth="1"/>
    <col min="35" max="35" width="20.7109375" bestFit="1" customWidth="1"/>
    <col min="36" max="36" width="31.42578125" bestFit="1" customWidth="1"/>
    <col min="37" max="37" width="63.140625" bestFit="1" customWidth="1"/>
    <col min="38" max="38" width="40.42578125" bestFit="1" customWidth="1"/>
    <col min="39" max="39" width="92.42578125" bestFit="1" customWidth="1"/>
    <col min="40" max="40" width="25.5703125" bestFit="1" customWidth="1"/>
    <col min="41" max="41" width="41.42578125" bestFit="1" customWidth="1"/>
    <col min="42" max="42" width="80.7109375" bestFit="1" customWidth="1"/>
    <col min="43" max="43" width="101.85546875" bestFit="1" customWidth="1"/>
    <col min="44" max="44" width="60.7109375" bestFit="1" customWidth="1"/>
    <col min="45" max="45" width="68" bestFit="1" customWidth="1"/>
    <col min="46" max="46" width="12.85546875" bestFit="1" customWidth="1"/>
    <col min="47" max="47" width="12.5703125" bestFit="1" customWidth="1"/>
    <col min="48" max="48" width="24.85546875" bestFit="1" customWidth="1"/>
    <col min="49" max="49" width="25.140625" bestFit="1" customWidth="1"/>
    <col min="50" max="50" width="43.42578125" bestFit="1" customWidth="1"/>
    <col min="51" max="51" width="48.140625" bestFit="1" customWidth="1"/>
    <col min="52" max="52" width="51.85546875" bestFit="1" customWidth="1"/>
    <col min="53" max="53" width="31.42578125" bestFit="1" customWidth="1"/>
    <col min="54" max="54" width="22.28515625" bestFit="1" customWidth="1"/>
    <col min="55" max="55" width="41.5703125" bestFit="1" customWidth="1"/>
    <col min="56" max="56" width="47.7109375" bestFit="1" customWidth="1"/>
    <col min="57" max="57" width="31.28515625" bestFit="1" customWidth="1"/>
    <col min="58" max="58" width="23.42578125" bestFit="1" customWidth="1"/>
    <col min="59" max="59" width="24.5703125" bestFit="1" customWidth="1"/>
    <col min="60" max="60" width="17.28515625" bestFit="1" customWidth="1"/>
    <col min="61" max="61" width="38.28515625" bestFit="1" customWidth="1"/>
    <col min="62" max="62" width="44.85546875" bestFit="1" customWidth="1"/>
    <col min="63" max="63" width="22.140625" bestFit="1" customWidth="1"/>
    <col min="64" max="64" width="54.85546875" bestFit="1" customWidth="1"/>
    <col min="65" max="65" width="24.5703125" bestFit="1" customWidth="1"/>
    <col min="66" max="66" width="4" bestFit="1" customWidth="1"/>
    <col min="67" max="67" width="20.140625" bestFit="1" customWidth="1"/>
    <col min="68" max="68" width="14.28515625" bestFit="1" customWidth="1"/>
    <col min="69" max="69" width="22" bestFit="1" customWidth="1"/>
    <col min="70" max="70" width="30.5703125" bestFit="1" customWidth="1"/>
    <col min="71" max="71" width="29.42578125" bestFit="1" customWidth="1"/>
    <col min="72" max="72" width="55.7109375" bestFit="1" customWidth="1"/>
    <col min="73" max="73" width="24.140625" bestFit="1" customWidth="1"/>
    <col min="74" max="74" width="30.42578125" bestFit="1" customWidth="1"/>
    <col min="75" max="75" width="63.28515625" bestFit="1" customWidth="1"/>
    <col min="76" max="76" width="15.42578125" bestFit="1" customWidth="1"/>
    <col min="77" max="77" width="34.42578125" bestFit="1" customWidth="1"/>
    <col min="78" max="78" width="27.42578125" bestFit="1" customWidth="1"/>
    <col min="79" max="79" width="25.85546875" bestFit="1" customWidth="1"/>
    <col min="80" max="80" width="20.7109375" bestFit="1" customWidth="1"/>
    <col min="81" max="81" width="54" bestFit="1" customWidth="1"/>
    <col min="82" max="82" width="55.28515625" bestFit="1" customWidth="1"/>
    <col min="83" max="83" width="36.28515625" bestFit="1" customWidth="1"/>
    <col min="84" max="84" width="45.28515625" bestFit="1" customWidth="1"/>
    <col min="85" max="85" width="11.140625" bestFit="1" customWidth="1"/>
    <col min="86" max="86" width="31.85546875" bestFit="1" customWidth="1"/>
    <col min="87" max="87" width="19.42578125" bestFit="1" customWidth="1"/>
    <col min="88" max="88" width="40.85546875" bestFit="1" customWidth="1"/>
    <col min="89" max="89" width="42.28515625" bestFit="1" customWidth="1"/>
    <col min="90" max="90" width="22.5703125" bestFit="1" customWidth="1"/>
    <col min="91" max="91" width="25.140625" bestFit="1" customWidth="1"/>
    <col min="92" max="92" width="7" bestFit="1" customWidth="1"/>
    <col min="93" max="93" width="18.85546875" bestFit="1" customWidth="1"/>
    <col min="94" max="94" width="42.42578125" bestFit="1" customWidth="1"/>
    <col min="95" max="95" width="65.7109375" bestFit="1" customWidth="1"/>
    <col min="96" max="96" width="63.5703125" bestFit="1" customWidth="1"/>
    <col min="97" max="97" width="67.28515625" bestFit="1" customWidth="1"/>
    <col min="98" max="98" width="48.42578125" bestFit="1" customWidth="1"/>
    <col min="99" max="99" width="44.5703125" bestFit="1" customWidth="1"/>
    <col min="100" max="100" width="43.7109375" bestFit="1" customWidth="1"/>
    <col min="101" max="101" width="21.7109375" bestFit="1" customWidth="1"/>
    <col min="102" max="102" width="55.85546875" bestFit="1" customWidth="1"/>
    <col min="103" max="103" width="19.42578125" bestFit="1" customWidth="1"/>
    <col min="104" max="104" width="26.28515625" bestFit="1" customWidth="1"/>
    <col min="105" max="106" width="27.7109375" bestFit="1" customWidth="1"/>
    <col min="107" max="107" width="28.7109375" bestFit="1" customWidth="1"/>
    <col min="108" max="108" width="18.85546875" bestFit="1" customWidth="1"/>
    <col min="109" max="109" width="57.42578125" bestFit="1" customWidth="1"/>
    <col min="110" max="110" width="29" bestFit="1" customWidth="1"/>
    <col min="111" max="111" width="72.140625" bestFit="1" customWidth="1"/>
    <col min="112" max="112" width="58.85546875" bestFit="1" customWidth="1"/>
    <col min="113" max="113" width="12.5703125" bestFit="1" customWidth="1"/>
    <col min="114" max="114" width="13.28515625" bestFit="1" customWidth="1"/>
    <col min="115" max="115" width="74.28515625" bestFit="1" customWidth="1"/>
    <col min="116" max="116" width="41.42578125" bestFit="1" customWidth="1"/>
    <col min="117" max="117" width="68.7109375" bestFit="1" customWidth="1"/>
    <col min="118" max="118" width="50.42578125" bestFit="1" customWidth="1"/>
    <col min="119" max="119" width="70.5703125" bestFit="1" customWidth="1"/>
    <col min="120" max="120" width="60.140625" bestFit="1" customWidth="1"/>
    <col min="121" max="121" width="53.5703125" bestFit="1" customWidth="1"/>
    <col min="122" max="122" width="47.85546875" bestFit="1" customWidth="1"/>
    <col min="123" max="123" width="50.5703125" bestFit="1" customWidth="1"/>
    <col min="124" max="124" width="39" bestFit="1" customWidth="1"/>
    <col min="125" max="125" width="48.42578125" bestFit="1" customWidth="1"/>
    <col min="126" max="126" width="48.140625" bestFit="1" customWidth="1"/>
    <col min="127" max="127" width="45.42578125" bestFit="1" customWidth="1"/>
    <col min="128" max="128" width="38.42578125" bestFit="1" customWidth="1"/>
    <col min="129" max="129" width="7.28515625" bestFit="1" customWidth="1"/>
    <col min="130" max="130" width="11.28515625" bestFit="1" customWidth="1"/>
  </cols>
  <sheetData>
    <row r="1" spans="1:2">
      <c r="A1" s="120" t="s">
        <v>6</v>
      </c>
      <c r="B1" t="s">
        <v>584</v>
      </c>
    </row>
    <row r="2" spans="1:2">
      <c r="A2" s="120" t="s">
        <v>36</v>
      </c>
      <c r="B2" t="s">
        <v>584</v>
      </c>
    </row>
    <row r="3" spans="1:2">
      <c r="A3" s="120" t="s">
        <v>271</v>
      </c>
      <c r="B3" t="s">
        <v>584</v>
      </c>
    </row>
    <row r="5" spans="1:2">
      <c r="A5" s="120" t="s">
        <v>585</v>
      </c>
    </row>
    <row r="6" spans="1:2">
      <c r="A6" s="121" t="s">
        <v>41</v>
      </c>
    </row>
    <row r="7" spans="1:2">
      <c r="A7" s="121" t="s">
        <v>59</v>
      </c>
      <c r="B7" t="s">
        <v>586</v>
      </c>
    </row>
    <row r="8" spans="1:2">
      <c r="A8" s="121" t="s">
        <v>89</v>
      </c>
    </row>
    <row r="9" spans="1:2">
      <c r="A9" s="121" t="s">
        <v>96</v>
      </c>
    </row>
    <row r="10" spans="1:2">
      <c r="A10" s="121" t="s">
        <v>384</v>
      </c>
    </row>
    <row r="11" spans="1:2">
      <c r="A11" s="121" t="s">
        <v>126</v>
      </c>
    </row>
    <row r="12" spans="1:2">
      <c r="A12" s="122" t="s">
        <v>448</v>
      </c>
    </row>
    <row r="13" spans="1:2">
      <c r="A13" s="316">
        <v>45175</v>
      </c>
    </row>
    <row r="14" spans="1:2">
      <c r="A14" s="122" t="s">
        <v>446</v>
      </c>
    </row>
    <row r="15" spans="1:2">
      <c r="A15" s="316">
        <v>45506</v>
      </c>
    </row>
    <row r="16" spans="1:2">
      <c r="A16" s="122" t="s">
        <v>451</v>
      </c>
    </row>
    <row r="17" spans="1:1">
      <c r="A17" s="316">
        <v>44418</v>
      </c>
    </row>
    <row r="18" spans="1:1">
      <c r="A18" s="121" t="s">
        <v>222</v>
      </c>
    </row>
    <row r="19" spans="1:1">
      <c r="A19" s="121" t="s">
        <v>318</v>
      </c>
    </row>
    <row r="20" spans="1:1">
      <c r="A20" s="121" t="s">
        <v>581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dimension ref="A1:I19"/>
  <sheetViews>
    <sheetView workbookViewId="0">
      <selection activeCell="F11" sqref="F11"/>
    </sheetView>
  </sheetViews>
  <sheetFormatPr defaultRowHeight="15"/>
  <cols>
    <col min="1" max="1" width="29.28515625" customWidth="1"/>
    <col min="2" max="2" width="49.7109375" bestFit="1" customWidth="1"/>
    <col min="3" max="3" width="25.85546875" customWidth="1"/>
    <col min="4" max="4" width="19.140625" bestFit="1" customWidth="1"/>
    <col min="5" max="5" width="9.7109375" bestFit="1" customWidth="1"/>
    <col min="6" max="6" width="24.140625" bestFit="1" customWidth="1"/>
  </cols>
  <sheetData>
    <row r="1" spans="1:9" ht="21.75" thickBot="1">
      <c r="A1" s="331" t="s">
        <v>5</v>
      </c>
      <c r="B1" s="331" t="s">
        <v>8</v>
      </c>
      <c r="C1" s="331" t="s">
        <v>6</v>
      </c>
      <c r="D1" s="331" t="s">
        <v>3</v>
      </c>
      <c r="E1" s="331" t="s">
        <v>271</v>
      </c>
      <c r="F1" s="331" t="s">
        <v>587</v>
      </c>
      <c r="I1" s="332" t="s">
        <v>588</v>
      </c>
    </row>
    <row r="2" spans="1:9" ht="15.75" thickTop="1">
      <c r="A2" t="s">
        <v>207</v>
      </c>
      <c r="B2" t="s">
        <v>589</v>
      </c>
      <c r="C2" t="s">
        <v>44</v>
      </c>
      <c r="D2" t="s">
        <v>174</v>
      </c>
      <c r="E2" t="s">
        <v>315</v>
      </c>
      <c r="F2" t="s">
        <v>590</v>
      </c>
    </row>
    <row r="3" spans="1:9">
      <c r="A3" t="s">
        <v>320</v>
      </c>
      <c r="B3" t="s">
        <v>591</v>
      </c>
      <c r="C3" t="s">
        <v>231</v>
      </c>
      <c r="D3" t="s">
        <v>132</v>
      </c>
      <c r="E3" t="s">
        <v>317</v>
      </c>
      <c r="F3" t="s">
        <v>592</v>
      </c>
    </row>
    <row r="4" spans="1:9">
      <c r="A4" t="s">
        <v>124</v>
      </c>
      <c r="B4" t="s">
        <v>78</v>
      </c>
      <c r="C4" t="s">
        <v>400</v>
      </c>
      <c r="D4" t="s">
        <v>108</v>
      </c>
      <c r="E4" t="s">
        <v>309</v>
      </c>
      <c r="F4" t="s">
        <v>593</v>
      </c>
    </row>
    <row r="5" spans="1:9">
      <c r="A5" t="s">
        <v>103</v>
      </c>
      <c r="B5" t="s">
        <v>594</v>
      </c>
      <c r="C5" t="s">
        <v>295</v>
      </c>
      <c r="D5" t="s">
        <v>342</v>
      </c>
      <c r="E5" t="s">
        <v>347</v>
      </c>
      <c r="F5" t="s">
        <v>595</v>
      </c>
    </row>
    <row r="6" spans="1:9">
      <c r="A6" t="s">
        <v>180</v>
      </c>
      <c r="C6" t="s">
        <v>288</v>
      </c>
      <c r="D6" t="s">
        <v>113</v>
      </c>
      <c r="E6" t="s">
        <v>108</v>
      </c>
      <c r="F6" t="s">
        <v>596</v>
      </c>
    </row>
    <row r="7" spans="1:9">
      <c r="A7" t="s">
        <v>169</v>
      </c>
      <c r="C7" t="s">
        <v>175</v>
      </c>
      <c r="E7" t="s">
        <v>597</v>
      </c>
    </row>
    <row r="8" spans="1:9">
      <c r="A8" t="s">
        <v>114</v>
      </c>
      <c r="B8" t="s">
        <v>598</v>
      </c>
      <c r="C8" t="s">
        <v>449</v>
      </c>
    </row>
    <row r="9" spans="1:9">
      <c r="A9" t="s">
        <v>133</v>
      </c>
      <c r="B9" t="s">
        <v>599</v>
      </c>
      <c r="C9" t="s">
        <v>53</v>
      </c>
    </row>
    <row r="10" spans="1:9">
      <c r="A10" t="s">
        <v>43</v>
      </c>
      <c r="C10" t="s">
        <v>474</v>
      </c>
    </row>
    <row r="11" spans="1:9">
      <c r="A11" t="s">
        <v>66</v>
      </c>
      <c r="C11" t="s">
        <v>480</v>
      </c>
    </row>
    <row r="12" spans="1:9">
      <c r="A12" t="s">
        <v>351</v>
      </c>
      <c r="C12" t="s">
        <v>108</v>
      </c>
    </row>
    <row r="13" spans="1:9">
      <c r="A13" t="s">
        <v>385</v>
      </c>
      <c r="C13" t="s">
        <v>320</v>
      </c>
    </row>
    <row r="14" spans="1:9">
      <c r="A14" t="s">
        <v>474</v>
      </c>
      <c r="C14" t="s">
        <v>207</v>
      </c>
    </row>
    <row r="15" spans="1:9">
      <c r="A15" t="s">
        <v>158</v>
      </c>
      <c r="C15" t="s">
        <v>600</v>
      </c>
    </row>
    <row r="16" spans="1:9">
      <c r="A16" t="s">
        <v>208</v>
      </c>
    </row>
    <row r="17" spans="1:1">
      <c r="A17" t="s">
        <v>52</v>
      </c>
    </row>
    <row r="18" spans="1:1">
      <c r="A18" t="s">
        <v>601</v>
      </c>
    </row>
    <row r="19" spans="1:1">
      <c r="A19" t="s">
        <v>602</v>
      </c>
    </row>
  </sheetData>
  <sortState ref="C2:C13">
    <sortCondition ref="C2:C13"/>
  </sortState>
  <pageMargins left="0.7" right="0.7" top="0.75" bottom="0.75" header="0.3" footer="0.3"/>
  <pageSetup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tabColor theme="4" tint="0.79998168889431442"/>
  </sheetPr>
  <dimension ref="B1:I13"/>
  <sheetViews>
    <sheetView showGridLines="0" topLeftCell="B16" workbookViewId="0">
      <selection activeCell="I7" sqref="D7:I7"/>
    </sheetView>
  </sheetViews>
  <sheetFormatPr defaultRowHeight="15"/>
  <cols>
    <col min="1" max="1" width="2.5703125" customWidth="1"/>
    <col min="2" max="2" width="11.42578125" customWidth="1"/>
    <col min="3" max="3" width="45.28515625" bestFit="1" customWidth="1"/>
    <col min="4" max="4" width="23" customWidth="1"/>
    <col min="5" max="5" width="45.5703125" bestFit="1" customWidth="1"/>
    <col min="6" max="8" width="19.7109375" customWidth="1"/>
    <col min="9" max="9" width="148.28515625" bestFit="1" customWidth="1"/>
    <col min="10" max="10" width="21.7109375" customWidth="1"/>
  </cols>
  <sheetData>
    <row r="1" spans="2:9" ht="23.25">
      <c r="B1" s="241" t="s">
        <v>603</v>
      </c>
    </row>
    <row r="2" spans="2:9">
      <c r="B2" s="250" t="s">
        <v>4</v>
      </c>
      <c r="C2" s="250" t="s">
        <v>604</v>
      </c>
      <c r="D2" s="250" t="s">
        <v>605</v>
      </c>
      <c r="E2" s="250" t="s">
        <v>606</v>
      </c>
      <c r="F2" s="250" t="s">
        <v>9</v>
      </c>
      <c r="G2" s="250" t="s">
        <v>271</v>
      </c>
      <c r="H2" s="250" t="s">
        <v>272</v>
      </c>
      <c r="I2" s="251" t="s">
        <v>37</v>
      </c>
    </row>
    <row r="3" spans="2:9" s="19" customFormat="1" ht="16.5" customHeight="1">
      <c r="B3" s="239"/>
      <c r="C3" s="243" t="s">
        <v>57</v>
      </c>
      <c r="D3" s="245" t="s">
        <v>607</v>
      </c>
      <c r="E3" s="244" t="s">
        <v>144</v>
      </c>
      <c r="F3" s="240"/>
      <c r="G3" s="255" t="s">
        <v>347</v>
      </c>
      <c r="H3" s="239"/>
      <c r="I3" s="6" t="s">
        <v>608</v>
      </c>
    </row>
    <row r="4" spans="2:9" s="19" customFormat="1">
      <c r="B4" s="239"/>
      <c r="C4" s="243" t="s">
        <v>63</v>
      </c>
      <c r="D4" s="245" t="s">
        <v>607</v>
      </c>
      <c r="E4" s="244" t="s">
        <v>144</v>
      </c>
      <c r="F4" s="240"/>
      <c r="G4" s="255" t="s">
        <v>315</v>
      </c>
      <c r="H4" s="239"/>
      <c r="I4" s="6" t="s">
        <v>609</v>
      </c>
    </row>
    <row r="5" spans="2:9" s="19" customFormat="1">
      <c r="B5" s="239"/>
      <c r="C5" s="243" t="s">
        <v>610</v>
      </c>
      <c r="D5" s="52" t="s">
        <v>607</v>
      </c>
      <c r="E5" s="244" t="s">
        <v>144</v>
      </c>
      <c r="F5" s="240"/>
      <c r="G5" s="255" t="s">
        <v>315</v>
      </c>
      <c r="H5" s="239"/>
      <c r="I5" s="6" t="s">
        <v>611</v>
      </c>
    </row>
    <row r="6" spans="2:9" s="19" customFormat="1">
      <c r="B6" s="239"/>
      <c r="C6" s="243" t="s">
        <v>612</v>
      </c>
      <c r="D6" s="52" t="s">
        <v>607</v>
      </c>
      <c r="E6" s="244" t="s">
        <v>144</v>
      </c>
      <c r="F6" s="240"/>
      <c r="G6" s="255" t="s">
        <v>347</v>
      </c>
      <c r="H6" s="239"/>
      <c r="I6" s="6" t="s">
        <v>613</v>
      </c>
    </row>
    <row r="7" spans="2:9" s="19" customFormat="1">
      <c r="B7" s="246"/>
      <c r="C7" s="247" t="s">
        <v>614</v>
      </c>
      <c r="D7" s="52" t="s">
        <v>607</v>
      </c>
      <c r="E7" s="248" t="s">
        <v>144</v>
      </c>
      <c r="F7" s="249"/>
      <c r="G7" s="256" t="s">
        <v>108</v>
      </c>
      <c r="H7" s="246"/>
      <c r="I7" s="6" t="s">
        <v>615</v>
      </c>
    </row>
    <row r="8" spans="2:9" s="19" customFormat="1">
      <c r="B8" s="239"/>
      <c r="C8" s="19" t="s">
        <v>96</v>
      </c>
      <c r="D8" s="52" t="s">
        <v>607</v>
      </c>
      <c r="E8" s="244" t="s">
        <v>616</v>
      </c>
      <c r="F8" s="240"/>
      <c r="G8" s="255" t="s">
        <v>108</v>
      </c>
      <c r="H8" s="239"/>
      <c r="I8" s="6" t="s">
        <v>617</v>
      </c>
    </row>
    <row r="9" spans="2:9" s="19" customFormat="1">
      <c r="B9" s="239"/>
      <c r="C9" s="243" t="s">
        <v>199</v>
      </c>
      <c r="D9" s="52" t="s">
        <v>607</v>
      </c>
      <c r="E9" s="253" t="s">
        <v>618</v>
      </c>
      <c r="F9" s="240"/>
      <c r="G9" s="255" t="s">
        <v>347</v>
      </c>
      <c r="H9" s="252"/>
      <c r="I9" s="6" t="s">
        <v>619</v>
      </c>
    </row>
    <row r="10" spans="2:9" s="19" customFormat="1">
      <c r="B10" s="239" t="s">
        <v>42</v>
      </c>
      <c r="C10" s="243" t="s">
        <v>620</v>
      </c>
      <c r="D10" s="52" t="s">
        <v>607</v>
      </c>
      <c r="E10" s="237" t="s">
        <v>621</v>
      </c>
      <c r="F10" s="240" t="s">
        <v>622</v>
      </c>
      <c r="G10" s="255" t="s">
        <v>108</v>
      </c>
      <c r="H10" s="239"/>
      <c r="I10" s="6" t="s">
        <v>617</v>
      </c>
    </row>
    <row r="11" spans="2:9" s="19" customFormat="1">
      <c r="B11" s="239" t="s">
        <v>42</v>
      </c>
      <c r="C11" s="243" t="s">
        <v>166</v>
      </c>
      <c r="D11" s="52" t="s">
        <v>607</v>
      </c>
      <c r="E11" s="237" t="s">
        <v>623</v>
      </c>
      <c r="F11" s="240" t="s">
        <v>622</v>
      </c>
      <c r="G11" s="255" t="s">
        <v>315</v>
      </c>
      <c r="H11" s="239"/>
      <c r="I11" s="6" t="s">
        <v>624</v>
      </c>
    </row>
    <row r="12" spans="2:9" s="19" customFormat="1" ht="30">
      <c r="B12" s="239" t="s">
        <v>42</v>
      </c>
      <c r="C12" s="254" t="s">
        <v>210</v>
      </c>
      <c r="D12" s="52" t="s">
        <v>607</v>
      </c>
      <c r="E12" s="253" t="s">
        <v>625</v>
      </c>
      <c r="F12" s="240" t="s">
        <v>626</v>
      </c>
      <c r="G12" s="255" t="s">
        <v>315</v>
      </c>
      <c r="H12" s="239"/>
      <c r="I12" s="6" t="s">
        <v>624</v>
      </c>
    </row>
    <row r="13" spans="2:9">
      <c r="B13" s="239"/>
      <c r="C13" s="72"/>
      <c r="D13" s="52"/>
      <c r="E13" s="244"/>
      <c r="F13" s="240"/>
      <c r="G13" s="240"/>
      <c r="H13" s="239"/>
      <c r="I13" s="235"/>
    </row>
  </sheetData>
  <dataValidations count="2">
    <dataValidation type="list" allowBlank="1" showInputMessage="1" showErrorMessage="1" sqref="B3:B13">
      <formula1>"VNA, VT"</formula1>
    </dataValidation>
    <dataValidation type="list" allowBlank="1" showInputMessage="1" showErrorMessage="1" sqref="F3:F13">
      <formula1>"Yes - Wet Sign, Yes - DocuSign, No Signed Copy"</formula1>
    </dataValidation>
  </dataValidations>
  <hyperlinks>
    <hyperlink ref="C3" r:id="rId1"/>
    <hyperlink ref="C4" r:id="rId2"/>
    <hyperlink ref="E10" r:id="rId3" display="../../../../../../:b:/s/VNA-Sales/EZPtQ9F3P45PrqveVen__FMBgvnFAWkuldmXB2BPnH8v1A?e=h7cKYb"/>
    <hyperlink ref="C10" r:id="rId4"/>
    <hyperlink ref="C5" r:id="rId5" display="National Gas Compression Systems "/>
    <hyperlink ref="E11" r:id="rId6" display="../../../../../../:b:/s/VNA-Sales/ET8F9tIhDSdNgpY9ipXi7pkB3VOcihsfAsmFne5rqf6ekA?e=EItSDT"/>
    <hyperlink ref="C11" r:id="rId7"/>
    <hyperlink ref="E9" r:id="rId8"/>
    <hyperlink ref="C9" r:id="rId9"/>
    <hyperlink ref="E12" r:id="rId10" display="https://viscositynorthamerica.sharepoint.com/:b:/s/VNA-Sales/EfeJnX_D2D1DnNlB8XyJpHYBqz5wEsJVxLyN4iWBMkqdMg?e=9oxeGj"/>
    <hyperlink ref="C6" r:id="rId11"/>
    <hyperlink ref="C12" r:id="rId12"/>
  </hyperlinks>
  <pageMargins left="0.7" right="0.7" top="0.75" bottom="0.75" header="0.3" footer="0.3"/>
  <drawing r:id="rId13"/>
  <tableParts count="1">
    <tablePart r:id="rId14"/>
  </tableParts>
  <extLst>
    <ext xmlns:x14="http://schemas.microsoft.com/office/spreadsheetml/2009/9/main" uri="{CCE6A557-97BC-4b89-ADB6-D9C93CAAB3DF}">
      <x14:dataValidations xmlns:xm="http://schemas.microsoft.com/office/excel/2006/main" count="1">
        <x14:dataValidation type="list" allowBlank="1" showInputMessage="1" showErrorMessage="1">
          <x14:formula1>
            <xm:f>'Settings &amp; Instructions'!$E$2:$E$7</xm:f>
          </x14:formula1>
          <xm:sqref>G3:G13</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6">
    <tabColor rgb="FFEEACAC"/>
  </sheetPr>
  <dimension ref="B1:AU228"/>
  <sheetViews>
    <sheetView showGridLines="0" zoomScale="115" zoomScaleNormal="115" zoomScaleSheetLayoutView="50" workbookViewId="0">
      <pane xSplit="6" ySplit="2" topLeftCell="G3" activePane="bottomRight" state="frozen"/>
      <selection pane="topRight" activeCell="F1" sqref="F1"/>
      <selection pane="bottomLeft" activeCell="A3" sqref="A3"/>
      <selection pane="bottomRight" activeCell="E5" sqref="E5"/>
    </sheetView>
  </sheetViews>
  <sheetFormatPr defaultColWidth="8.7109375" defaultRowHeight="15" outlineLevelCol="1"/>
  <cols>
    <col min="1" max="1" width="1.42578125" style="52" customWidth="1"/>
    <col min="2" max="2" width="18.5703125" style="155" customWidth="1"/>
    <col min="3" max="3" width="16.7109375" style="91" hidden="1" customWidth="1"/>
    <col min="4" max="4" width="14" style="206" hidden="1" customWidth="1"/>
    <col min="5" max="5" width="12.42578125" style="72" customWidth="1" collapsed="1"/>
    <col min="6" max="6" width="14.28515625" style="72" customWidth="1"/>
    <col min="7" max="7" width="18.42578125" style="72" customWidth="1"/>
    <col min="8" max="8" width="46.7109375" style="140" customWidth="1"/>
    <col min="9" max="9" width="13.7109375" style="57" customWidth="1"/>
    <col min="10" max="11" width="10.28515625" style="57" customWidth="1"/>
    <col min="12" max="12" width="8.7109375" style="111"/>
    <col min="13" max="13" width="8.7109375" style="111" customWidth="1" outlineLevel="1"/>
    <col min="14" max="14" width="14.28515625" style="52" customWidth="1" outlineLevel="1"/>
    <col min="15" max="16" width="13.28515625" style="52" customWidth="1" outlineLevel="1"/>
    <col min="17" max="18" width="13.28515625" style="51" customWidth="1" outlineLevel="1"/>
    <col min="19" max="19" width="14.7109375" style="52" customWidth="1"/>
    <col min="20" max="20" width="16.28515625" style="92" customWidth="1"/>
    <col min="21" max="21" width="14.28515625" style="52" customWidth="1"/>
    <col min="22" max="22" width="16.28515625" style="52" customWidth="1"/>
    <col min="23" max="23" width="14.28515625" style="92" customWidth="1"/>
    <col min="24" max="24" width="14.28515625" style="92" hidden="1" customWidth="1"/>
    <col min="25" max="25" width="14.5703125" style="92" hidden="1" customWidth="1" outlineLevel="1"/>
    <col min="26" max="26" width="14.7109375" style="92" hidden="1" customWidth="1" outlineLevel="1"/>
    <col min="27" max="27" width="11.5703125" style="93" hidden="1" customWidth="1" outlineLevel="1"/>
    <col min="28" max="28" width="14.42578125" style="92" hidden="1" customWidth="1" outlineLevel="1"/>
    <col min="29" max="29" width="19.28515625" style="92" hidden="1" customWidth="1" outlineLevel="1"/>
    <col min="30" max="30" width="15.5703125" style="92" hidden="1" customWidth="1" outlineLevel="1"/>
    <col min="31" max="31" width="15.28515625" style="92" hidden="1" customWidth="1" outlineLevel="1"/>
    <col min="32" max="32" width="17.7109375" style="92" hidden="1" customWidth="1" outlineLevel="1"/>
    <col min="33" max="33" width="20.7109375" style="52" hidden="1" customWidth="1" outlineLevel="1"/>
    <col min="34" max="34" width="15.42578125" style="94" hidden="1" customWidth="1" outlineLevel="1"/>
    <col min="35" max="35" width="13.7109375" style="94" hidden="1" customWidth="1" outlineLevel="1"/>
    <col min="36" max="36" width="16.28515625" style="94" hidden="1" customWidth="1" outlineLevel="1"/>
    <col min="37" max="37" width="19" style="94" hidden="1" customWidth="1" outlineLevel="1"/>
    <col min="38" max="41" width="16.28515625" style="94" hidden="1" customWidth="1" outlineLevel="1"/>
    <col min="42" max="42" width="14.7109375" style="94" hidden="1" customWidth="1" outlineLevel="1"/>
    <col min="43" max="43" width="14.5703125" style="94" customWidth="1" collapsed="1"/>
    <col min="44" max="44" width="141.28515625" style="112" customWidth="1"/>
    <col min="45" max="45" width="103.7109375" style="52" customWidth="1"/>
    <col min="46" max="46" width="69.42578125" style="72" bestFit="1" customWidth="1"/>
    <col min="47" max="47" width="15.5703125" style="51" bestFit="1" customWidth="1"/>
    <col min="48" max="48" width="20.28515625" style="52" bestFit="1" customWidth="1"/>
    <col min="49" max="49" width="8.42578125" style="52" bestFit="1" customWidth="1"/>
    <col min="50" max="50" width="7.7109375" style="52" customWidth="1"/>
    <col min="51" max="16384" width="8.7109375" style="52"/>
  </cols>
  <sheetData>
    <row r="1" spans="2:47" ht="7.9" customHeight="1" thickBot="1">
      <c r="L1" s="52"/>
      <c r="M1" s="52"/>
      <c r="S1" s="92"/>
      <c r="U1" s="92"/>
      <c r="V1" s="93"/>
      <c r="Z1" s="52"/>
      <c r="AA1" s="52"/>
      <c r="AB1" s="52"/>
      <c r="AC1" s="52"/>
      <c r="AD1" s="94"/>
      <c r="AE1" s="94"/>
      <c r="AF1" s="52"/>
      <c r="AH1" s="52"/>
      <c r="AI1" s="52"/>
      <c r="AJ1" s="52"/>
      <c r="AK1" s="52"/>
      <c r="AL1" s="52"/>
      <c r="AM1" s="52"/>
      <c r="AN1" s="52"/>
      <c r="AO1" s="52"/>
      <c r="AP1" s="52"/>
      <c r="AQ1" s="95"/>
      <c r="AR1" s="52"/>
      <c r="AT1" s="52"/>
      <c r="AU1" s="52"/>
    </row>
    <row r="2" spans="2:47" s="165" customFormat="1" ht="45.75" thickBot="1">
      <c r="B2" s="158" t="s">
        <v>1</v>
      </c>
      <c r="C2" s="159" t="s">
        <v>2</v>
      </c>
      <c r="D2" s="159" t="s">
        <v>3</v>
      </c>
      <c r="E2" s="160" t="s">
        <v>5</v>
      </c>
      <c r="F2" s="160" t="s">
        <v>6</v>
      </c>
      <c r="G2" s="160" t="s">
        <v>627</v>
      </c>
      <c r="H2" s="160" t="s">
        <v>8</v>
      </c>
      <c r="I2" s="160" t="s">
        <v>9</v>
      </c>
      <c r="J2" s="160" t="s">
        <v>10</v>
      </c>
      <c r="K2" s="160" t="s">
        <v>271</v>
      </c>
      <c r="L2" s="160" t="s">
        <v>4</v>
      </c>
      <c r="M2" s="160" t="s">
        <v>272</v>
      </c>
      <c r="N2" s="160" t="s">
        <v>273</v>
      </c>
      <c r="O2" s="160" t="s">
        <v>274</v>
      </c>
      <c r="P2" s="160" t="s">
        <v>275</v>
      </c>
      <c r="Q2" s="161" t="s">
        <v>276</v>
      </c>
      <c r="R2" s="161" t="s">
        <v>277</v>
      </c>
      <c r="S2" s="160" t="s">
        <v>278</v>
      </c>
      <c r="T2" s="160" t="s">
        <v>11</v>
      </c>
      <c r="U2" s="160" t="s">
        <v>12</v>
      </c>
      <c r="V2" s="162" t="s">
        <v>13</v>
      </c>
      <c r="W2" s="160" t="s">
        <v>14</v>
      </c>
      <c r="X2" s="160" t="s">
        <v>15</v>
      </c>
      <c r="Y2" s="160" t="s">
        <v>16</v>
      </c>
      <c r="Z2" s="160" t="s">
        <v>17</v>
      </c>
      <c r="AA2" s="160" t="s">
        <v>18</v>
      </c>
      <c r="AB2" s="160" t="s">
        <v>19</v>
      </c>
      <c r="AC2" s="160" t="s">
        <v>20</v>
      </c>
      <c r="AD2" s="160" t="s">
        <v>21</v>
      </c>
      <c r="AE2" s="160" t="s">
        <v>22</v>
      </c>
      <c r="AF2" s="163" t="s">
        <v>23</v>
      </c>
      <c r="AG2" s="163" t="s">
        <v>24</v>
      </c>
      <c r="AH2" s="163" t="s">
        <v>25</v>
      </c>
      <c r="AI2" s="163" t="s">
        <v>26</v>
      </c>
      <c r="AJ2" s="163" t="s">
        <v>27</v>
      </c>
      <c r="AK2" s="163" t="s">
        <v>28</v>
      </c>
      <c r="AL2" s="163" t="s">
        <v>29</v>
      </c>
      <c r="AM2" s="163" t="s">
        <v>31</v>
      </c>
      <c r="AN2" s="163" t="s">
        <v>32</v>
      </c>
      <c r="AO2" s="163" t="s">
        <v>628</v>
      </c>
      <c r="AP2" s="163" t="s">
        <v>629</v>
      </c>
      <c r="AQ2" s="160" t="s">
        <v>36</v>
      </c>
      <c r="AR2" s="164" t="s">
        <v>37</v>
      </c>
      <c r="AT2" s="165" t="s">
        <v>39</v>
      </c>
      <c r="AU2" s="165" t="s">
        <v>40</v>
      </c>
    </row>
    <row r="3" spans="2:47" ht="30">
      <c r="B3" s="147" t="s">
        <v>41</v>
      </c>
      <c r="C3" s="61" t="str">
        <f>IFERROR(VLOOKUP(B3,'QB Consolidated Contacts'!$A$1:$F$333,6),"-")</f>
        <v>Prakash Rikhilal</v>
      </c>
      <c r="D3" s="207"/>
      <c r="E3" s="96" t="s">
        <v>43</v>
      </c>
      <c r="F3" s="96" t="s">
        <v>44</v>
      </c>
      <c r="G3" s="96"/>
      <c r="H3" s="141" t="s">
        <v>45</v>
      </c>
      <c r="I3" s="58" t="s">
        <v>39</v>
      </c>
      <c r="J3" s="58"/>
      <c r="K3" s="58" t="s">
        <v>315</v>
      </c>
      <c r="L3" s="53" t="s">
        <v>42</v>
      </c>
      <c r="M3" s="53"/>
      <c r="N3" s="53"/>
      <c r="O3" s="53" t="s">
        <v>48</v>
      </c>
      <c r="P3" s="53"/>
      <c r="Q3" s="76"/>
      <c r="R3" s="76"/>
      <c r="S3" s="59" t="s">
        <v>48</v>
      </c>
      <c r="T3" s="97">
        <v>44053</v>
      </c>
      <c r="U3" s="65" t="s">
        <v>46</v>
      </c>
      <c r="V3" s="97" t="str">
        <f t="shared" ref="V3:V16" si="0">IFERROR(EDATE(T3,U3),"")</f>
        <v/>
      </c>
      <c r="W3" s="65" t="str">
        <f t="shared" ref="W3:W47" ca="1" si="1">IFERROR(V3-TODAY(),"")</f>
        <v/>
      </c>
      <c r="X3" s="65" t="s">
        <v>39</v>
      </c>
      <c r="Y3" s="65"/>
      <c r="Z3" s="69" t="s">
        <v>47</v>
      </c>
      <c r="AA3" s="68" t="s">
        <v>47</v>
      </c>
      <c r="AB3" s="68"/>
      <c r="AC3" s="68"/>
      <c r="AD3" s="68" t="s">
        <v>48</v>
      </c>
      <c r="AE3" s="68"/>
      <c r="AF3" s="69" t="s">
        <v>48</v>
      </c>
      <c r="AG3" s="69" t="s">
        <v>48</v>
      </c>
      <c r="AH3" s="69"/>
      <c r="AI3" s="69"/>
      <c r="AJ3" s="69"/>
      <c r="AK3" s="69"/>
      <c r="AL3" s="69"/>
      <c r="AM3" s="69"/>
      <c r="AN3" s="69"/>
      <c r="AO3" s="69"/>
      <c r="AP3" s="69" t="s">
        <v>49</v>
      </c>
      <c r="AQ3" s="65" t="str">
        <f ca="1">IF(ALL_02FEB2024[[#This Row],[Days to Contract End]]&lt;=90,"R",IF(AND(ALL_02FEB2024[[#This Row],[Days to Contract End]]&lt;180),"A","G"))</f>
        <v>G</v>
      </c>
      <c r="AR3" s="98"/>
      <c r="AT3" s="52"/>
      <c r="AU3" s="52"/>
    </row>
    <row r="4" spans="2:47" ht="30">
      <c r="B4" s="147" t="s">
        <v>41</v>
      </c>
      <c r="C4" s="71" t="str">
        <f>IFERROR(VLOOKUP(B4,'QB Consolidated Contacts'!$A$1:$F$333,6),"-")</f>
        <v>Prakash Rikhilal</v>
      </c>
      <c r="D4" s="208" t="s">
        <v>132</v>
      </c>
      <c r="E4" s="62" t="s">
        <v>158</v>
      </c>
      <c r="F4" s="62" t="s">
        <v>288</v>
      </c>
      <c r="G4" s="62" t="s">
        <v>630</v>
      </c>
      <c r="H4" s="194" t="s">
        <v>293</v>
      </c>
      <c r="I4" s="195" t="s">
        <v>39</v>
      </c>
      <c r="J4" s="195" t="s">
        <v>39</v>
      </c>
      <c r="K4" s="195" t="s">
        <v>315</v>
      </c>
      <c r="L4" s="196" t="s">
        <v>42</v>
      </c>
      <c r="M4" s="196"/>
      <c r="N4" s="196" t="s">
        <v>294</v>
      </c>
      <c r="O4" s="55"/>
      <c r="P4" s="55"/>
      <c r="Q4" s="77"/>
      <c r="R4" s="77"/>
      <c r="S4" s="56"/>
      <c r="T4" s="63">
        <v>45108</v>
      </c>
      <c r="U4" s="64">
        <v>6</v>
      </c>
      <c r="V4" s="63">
        <f>IFERROR(EDATE(T4,U4),"")</f>
        <v>45292</v>
      </c>
      <c r="W4" s="64">
        <f ca="1">IFERROR(V4-TODAY(),"")</f>
        <v>-801</v>
      </c>
      <c r="X4" s="65"/>
      <c r="Y4" s="65"/>
      <c r="Z4" s="66"/>
      <c r="AA4" s="67"/>
      <c r="AB4" s="67"/>
      <c r="AC4" s="67"/>
      <c r="AD4" s="67"/>
      <c r="AE4" s="67"/>
      <c r="AF4" s="66"/>
      <c r="AG4" s="66"/>
      <c r="AH4" s="69"/>
      <c r="AI4" s="69"/>
      <c r="AJ4" s="69"/>
      <c r="AK4" s="69"/>
      <c r="AL4" s="69"/>
      <c r="AM4" s="69"/>
      <c r="AN4" s="69"/>
      <c r="AO4" s="69"/>
      <c r="AP4" s="66"/>
      <c r="AQ4" s="64" t="str">
        <f ca="1">IF(ALL_02FEB2024[[#This Row],[Days to Contract End]]&lt;=90,"R",IF(AND(ALL_02FEB2024[[#This Row],[Days to Contract End]]&lt;180),"A","G"))</f>
        <v>R</v>
      </c>
      <c r="AR4" s="70"/>
      <c r="AT4" s="52"/>
      <c r="AU4" s="52"/>
    </row>
    <row r="5" spans="2:47" ht="30">
      <c r="B5" s="147" t="s">
        <v>41</v>
      </c>
      <c r="C5" s="61" t="str">
        <f>IFERROR(VLOOKUP(B5,'QB Consolidated Contacts'!$A$1:$F$333,6),"-")</f>
        <v>Prakash Rikhilal</v>
      </c>
      <c r="D5" s="207" t="s">
        <v>174</v>
      </c>
      <c r="E5" s="62" t="s">
        <v>158</v>
      </c>
      <c r="F5" s="62" t="s">
        <v>288</v>
      </c>
      <c r="G5" s="62"/>
      <c r="H5" s="142" t="s">
        <v>289</v>
      </c>
      <c r="I5" s="54" t="s">
        <v>39</v>
      </c>
      <c r="J5" s="54"/>
      <c r="K5" s="54" t="s">
        <v>317</v>
      </c>
      <c r="L5" s="31" t="s">
        <v>51</v>
      </c>
      <c r="M5" s="31" t="s">
        <v>39</v>
      </c>
      <c r="N5" s="31"/>
      <c r="O5" s="31" t="s">
        <v>290</v>
      </c>
      <c r="P5" s="31"/>
      <c r="Q5" s="77">
        <v>13410</v>
      </c>
      <c r="R5" s="77">
        <f>ALL_02FEB2024[[#This Row],[Monthly Budget]]*12</f>
        <v>160920</v>
      </c>
      <c r="S5" s="56">
        <f>106+106+10</f>
        <v>222</v>
      </c>
      <c r="T5" s="63">
        <v>44739</v>
      </c>
      <c r="U5" s="64">
        <v>12</v>
      </c>
      <c r="V5" s="63">
        <f t="shared" si="0"/>
        <v>45104</v>
      </c>
      <c r="W5" s="65">
        <f ca="1">IFERROR(V5-TODAY(),"")</f>
        <v>-989</v>
      </c>
      <c r="X5" s="65" t="s">
        <v>40</v>
      </c>
      <c r="Y5" s="65"/>
      <c r="Z5" s="66"/>
      <c r="AA5" s="67" t="s">
        <v>48</v>
      </c>
      <c r="AB5" s="68"/>
      <c r="AC5" s="68"/>
      <c r="AD5" s="68" t="s">
        <v>48</v>
      </c>
      <c r="AE5" s="68"/>
      <c r="AF5" s="69" t="s">
        <v>48</v>
      </c>
      <c r="AG5" s="69" t="s">
        <v>48</v>
      </c>
      <c r="AH5" s="69"/>
      <c r="AI5" s="69"/>
      <c r="AJ5" s="69"/>
      <c r="AK5" s="69"/>
      <c r="AL5" s="69"/>
      <c r="AM5" s="69"/>
      <c r="AN5" s="69"/>
      <c r="AO5" s="69"/>
      <c r="AP5" s="69" t="s">
        <v>48</v>
      </c>
      <c r="AQ5" s="65" t="str">
        <f ca="1">IF(ALL_02FEB2024[[#This Row],[Days to Contract End]]&lt;=90,"R",IF(AND(ALL_02FEB2024[[#This Row],[Days to Contract End]]&lt;180),"A","G"))</f>
        <v>R</v>
      </c>
      <c r="AR5" s="70"/>
      <c r="AT5" s="52"/>
      <c r="AU5" s="52"/>
    </row>
    <row r="6" spans="2:47" ht="30">
      <c r="B6" s="147" t="s">
        <v>41</v>
      </c>
      <c r="C6" s="61" t="str">
        <f>IFERROR(VLOOKUP(B6,'QB Consolidated Contacts'!$A$1:$F$333,6),"-")</f>
        <v>Prakash Rikhilal</v>
      </c>
      <c r="D6" s="207" t="s">
        <v>132</v>
      </c>
      <c r="E6" s="62" t="s">
        <v>158</v>
      </c>
      <c r="F6" s="62" t="s">
        <v>288</v>
      </c>
      <c r="G6" s="62" t="s">
        <v>630</v>
      </c>
      <c r="H6" s="142" t="s">
        <v>291</v>
      </c>
      <c r="I6" s="54" t="s">
        <v>39</v>
      </c>
      <c r="J6" s="54"/>
      <c r="K6" s="54" t="s">
        <v>315</v>
      </c>
      <c r="L6" s="31" t="s">
        <v>42</v>
      </c>
      <c r="M6" s="31" t="s">
        <v>39</v>
      </c>
      <c r="N6" s="99"/>
      <c r="O6" s="31" t="s">
        <v>282</v>
      </c>
      <c r="P6" s="31"/>
      <c r="Q6" s="77">
        <v>9000</v>
      </c>
      <c r="R6" s="77">
        <f>ALL_02FEB2024[[#This Row],[Monthly Budget]]*12</f>
        <v>108000</v>
      </c>
      <c r="S6" s="56" t="s">
        <v>292</v>
      </c>
      <c r="T6" s="63">
        <v>44972</v>
      </c>
      <c r="U6" s="64">
        <v>12</v>
      </c>
      <c r="V6" s="63">
        <f t="shared" si="0"/>
        <v>45337</v>
      </c>
      <c r="W6" s="65">
        <f t="shared" ca="1" si="1"/>
        <v>-756</v>
      </c>
      <c r="X6" s="65" t="s">
        <v>40</v>
      </c>
      <c r="Y6" s="65"/>
      <c r="Z6" s="67" t="s">
        <v>48</v>
      </c>
      <c r="AA6" s="67" t="s">
        <v>48</v>
      </c>
      <c r="AB6" s="68"/>
      <c r="AC6" s="68"/>
      <c r="AD6" s="68" t="s">
        <v>48</v>
      </c>
      <c r="AE6" s="68"/>
      <c r="AF6" s="69" t="s">
        <v>48</v>
      </c>
      <c r="AG6" s="69" t="s">
        <v>48</v>
      </c>
      <c r="AH6" s="69"/>
      <c r="AI6" s="69"/>
      <c r="AJ6" s="69"/>
      <c r="AK6" s="69"/>
      <c r="AL6" s="69"/>
      <c r="AM6" s="69"/>
      <c r="AN6" s="69"/>
      <c r="AO6" s="69"/>
      <c r="AP6" s="69" t="s">
        <v>48</v>
      </c>
      <c r="AQ6" s="65" t="str">
        <f ca="1">IF(ALL_02FEB2024[[#This Row],[Days to Contract End]]&lt;=90,"R",IF(AND(ALL_02FEB2024[[#This Row],[Days to Contract End]]&lt;180),"A","G"))</f>
        <v>R</v>
      </c>
      <c r="AR6" s="70"/>
      <c r="AT6" s="52"/>
      <c r="AU6" s="52"/>
    </row>
    <row r="7" spans="2:47" ht="30">
      <c r="B7" s="147" t="s">
        <v>41</v>
      </c>
      <c r="C7" s="71" t="str">
        <f>IFERROR(VLOOKUP(B7,'QB Consolidated Contacts'!$A$1:$F$333,6),"-")</f>
        <v>Prakash Rikhilal</v>
      </c>
      <c r="D7" s="208"/>
      <c r="E7" s="62" t="s">
        <v>158</v>
      </c>
      <c r="F7" s="62" t="s">
        <v>288</v>
      </c>
      <c r="G7" s="62" t="s">
        <v>630</v>
      </c>
      <c r="H7" s="142" t="s">
        <v>297</v>
      </c>
      <c r="I7" s="54" t="s">
        <v>39</v>
      </c>
      <c r="J7" s="54" t="s">
        <v>39</v>
      </c>
      <c r="K7" s="54" t="s">
        <v>315</v>
      </c>
      <c r="L7" s="31" t="s">
        <v>42</v>
      </c>
      <c r="M7" s="31"/>
      <c r="N7" s="31"/>
      <c r="O7" s="55"/>
      <c r="P7" s="55"/>
      <c r="Q7" s="77"/>
      <c r="R7" s="77"/>
      <c r="S7" s="56"/>
      <c r="T7" s="63">
        <v>45292</v>
      </c>
      <c r="U7" s="64" t="s">
        <v>220</v>
      </c>
      <c r="V7" s="63">
        <v>45658</v>
      </c>
      <c r="W7" s="64">
        <f ca="1">IFERROR(V7-TODAY(),"")</f>
        <v>-435</v>
      </c>
      <c r="X7" s="65"/>
      <c r="Y7" s="65"/>
      <c r="Z7" s="67"/>
      <c r="AA7" s="67"/>
      <c r="AB7" s="67"/>
      <c r="AC7" s="67"/>
      <c r="AD7" s="67"/>
      <c r="AE7" s="67"/>
      <c r="AF7" s="66"/>
      <c r="AG7" s="66"/>
      <c r="AH7" s="69"/>
      <c r="AI7" s="69"/>
      <c r="AJ7" s="69"/>
      <c r="AK7" s="69"/>
      <c r="AL7" s="69"/>
      <c r="AM7" s="69"/>
      <c r="AN7" s="69"/>
      <c r="AO7" s="69"/>
      <c r="AP7" s="66"/>
      <c r="AQ7" s="64" t="str">
        <f ca="1">IF(ALL_02FEB2024[[#This Row],[Days to Contract End]]&lt;=90,"R",IF(AND(ALL_02FEB2024[[#This Row],[Days to Contract End]]&lt;180),"A","G"))</f>
        <v>R</v>
      </c>
      <c r="AR7" s="70"/>
      <c r="AT7" s="52"/>
      <c r="AU7" s="52"/>
    </row>
    <row r="8" spans="2:47" ht="30">
      <c r="B8" s="147" t="s">
        <v>41</v>
      </c>
      <c r="C8" s="71" t="str">
        <f>IFERROR(VLOOKUP(B8,'QB Consolidated Contacts'!$A$1:$F$333,6),"-")</f>
        <v>Prakash Rikhilal</v>
      </c>
      <c r="D8" s="208"/>
      <c r="E8" s="62" t="s">
        <v>158</v>
      </c>
      <c r="F8" s="62" t="s">
        <v>288</v>
      </c>
      <c r="G8" s="62" t="s">
        <v>630</v>
      </c>
      <c r="H8" s="142" t="s">
        <v>298</v>
      </c>
      <c r="I8" s="54" t="s">
        <v>39</v>
      </c>
      <c r="J8" s="54" t="s">
        <v>39</v>
      </c>
      <c r="K8" s="54" t="s">
        <v>315</v>
      </c>
      <c r="L8" s="31" t="s">
        <v>42</v>
      </c>
      <c r="M8" s="31"/>
      <c r="N8" s="31"/>
      <c r="O8" s="55"/>
      <c r="P8" s="55"/>
      <c r="Q8" s="77"/>
      <c r="R8" s="77"/>
      <c r="S8" s="56"/>
      <c r="T8" s="63">
        <v>45292</v>
      </c>
      <c r="U8" s="64">
        <v>6</v>
      </c>
      <c r="V8" s="63">
        <f>IFERROR(EDATE(T8,U8),"")</f>
        <v>45474</v>
      </c>
      <c r="W8" s="64">
        <f ca="1">IFERROR(V8-TODAY(),"")</f>
        <v>-619</v>
      </c>
      <c r="X8" s="65"/>
      <c r="Y8" s="65"/>
      <c r="Z8" s="67"/>
      <c r="AA8" s="67"/>
      <c r="AB8" s="67"/>
      <c r="AC8" s="67"/>
      <c r="AD8" s="67"/>
      <c r="AE8" s="67"/>
      <c r="AF8" s="66"/>
      <c r="AG8" s="66"/>
      <c r="AH8" s="69"/>
      <c r="AI8" s="69"/>
      <c r="AJ8" s="69"/>
      <c r="AK8" s="69"/>
      <c r="AL8" s="69"/>
      <c r="AM8" s="69"/>
      <c r="AN8" s="69"/>
      <c r="AO8" s="69"/>
      <c r="AP8" s="66"/>
      <c r="AQ8" s="64" t="str">
        <f ca="1">IF(ALL_02FEB2024[[#This Row],[Days to Contract End]]&lt;=90,"R",IF(AND(ALL_02FEB2024[[#This Row],[Days to Contract End]]&lt;180),"A","G"))</f>
        <v>R</v>
      </c>
      <c r="AR8" s="70"/>
      <c r="AT8" s="52"/>
      <c r="AU8" s="52"/>
    </row>
    <row r="9" spans="2:47" ht="30">
      <c r="B9" s="147" t="s">
        <v>41</v>
      </c>
      <c r="C9" s="71" t="str">
        <f>IFERROR(VLOOKUP(B9,'QB Consolidated Contacts'!$A$1:$F$333,6),"-")</f>
        <v>Prakash Rikhilal</v>
      </c>
      <c r="D9" s="208"/>
      <c r="E9" s="62" t="s">
        <v>158</v>
      </c>
      <c r="F9" s="62" t="s">
        <v>288</v>
      </c>
      <c r="G9" s="62" t="s">
        <v>630</v>
      </c>
      <c r="H9" s="142" t="s">
        <v>302</v>
      </c>
      <c r="I9" s="54" t="s">
        <v>39</v>
      </c>
      <c r="J9" s="54" t="s">
        <v>39</v>
      </c>
      <c r="K9" s="54" t="s">
        <v>315</v>
      </c>
      <c r="L9" s="31" t="s">
        <v>42</v>
      </c>
      <c r="M9" s="31"/>
      <c r="N9" s="31"/>
      <c r="O9" s="55"/>
      <c r="P9" s="55"/>
      <c r="Q9" s="77"/>
      <c r="R9" s="77"/>
      <c r="S9" s="56"/>
      <c r="T9" s="63">
        <v>45352</v>
      </c>
      <c r="U9" s="64">
        <v>10</v>
      </c>
      <c r="V9" s="63">
        <v>45657</v>
      </c>
      <c r="W9" s="64">
        <f ca="1">IFERROR(V9-TODAY(),"")</f>
        <v>-436</v>
      </c>
      <c r="X9" s="65"/>
      <c r="Y9" s="65"/>
      <c r="Z9" s="67"/>
      <c r="AA9" s="67"/>
      <c r="AB9" s="67"/>
      <c r="AC9" s="67"/>
      <c r="AD9" s="67"/>
      <c r="AE9" s="67"/>
      <c r="AF9" s="66"/>
      <c r="AG9" s="66"/>
      <c r="AH9" s="69"/>
      <c r="AI9" s="69"/>
      <c r="AJ9" s="69"/>
      <c r="AK9" s="69"/>
      <c r="AL9" s="69"/>
      <c r="AM9" s="69"/>
      <c r="AN9" s="69"/>
      <c r="AO9" s="69"/>
      <c r="AP9" s="66"/>
      <c r="AQ9" s="64" t="str">
        <f ca="1">IF(ALL_02FEB2024[[#This Row],[Days to Contract End]]&lt;=90,"R",IF(AND(ALL_02FEB2024[[#This Row],[Days to Contract End]]&lt;180),"A","G"))</f>
        <v>R</v>
      </c>
      <c r="AR9" s="70"/>
      <c r="AT9" s="52"/>
      <c r="AU9" s="52"/>
    </row>
    <row r="10" spans="2:47" ht="30">
      <c r="B10" s="147" t="s">
        <v>41</v>
      </c>
      <c r="C10" s="61" t="str">
        <f>IFERROR(VLOOKUP(B10,'QB Consolidated Contacts'!$A$1:$F$333,6),"-")</f>
        <v>Prakash Rikhilal</v>
      </c>
      <c r="D10" s="207" t="s">
        <v>132</v>
      </c>
      <c r="E10" s="62" t="s">
        <v>158</v>
      </c>
      <c r="F10" s="62" t="s">
        <v>175</v>
      </c>
      <c r="G10" s="62" t="s">
        <v>630</v>
      </c>
      <c r="H10" s="143" t="s">
        <v>283</v>
      </c>
      <c r="I10" s="54" t="s">
        <v>39</v>
      </c>
      <c r="J10" s="54"/>
      <c r="K10" s="54" t="s">
        <v>315</v>
      </c>
      <c r="L10" s="31" t="s">
        <v>42</v>
      </c>
      <c r="M10" s="31" t="s">
        <v>39</v>
      </c>
      <c r="N10" s="99" t="s">
        <v>284</v>
      </c>
      <c r="O10" s="31" t="s">
        <v>282</v>
      </c>
      <c r="P10" s="31"/>
      <c r="Q10" s="77"/>
      <c r="R10" s="77">
        <v>91000</v>
      </c>
      <c r="S10" s="56">
        <v>520</v>
      </c>
      <c r="T10" s="63">
        <v>44621</v>
      </c>
      <c r="U10" s="64" t="s">
        <v>46</v>
      </c>
      <c r="V10" s="63" t="str">
        <f t="shared" si="0"/>
        <v/>
      </c>
      <c r="W10" s="65" t="str">
        <f t="shared" ca="1" si="1"/>
        <v/>
      </c>
      <c r="X10" s="65" t="s">
        <v>40</v>
      </c>
      <c r="Y10" s="65"/>
      <c r="Z10" s="67" t="s">
        <v>48</v>
      </c>
      <c r="AA10" s="67" t="s">
        <v>48</v>
      </c>
      <c r="AB10" s="68"/>
      <c r="AC10" s="68"/>
      <c r="AD10" s="68" t="s">
        <v>48</v>
      </c>
      <c r="AE10" s="68"/>
      <c r="AF10" s="69" t="s">
        <v>48</v>
      </c>
      <c r="AG10" s="69" t="s">
        <v>48</v>
      </c>
      <c r="AH10" s="69"/>
      <c r="AI10" s="69"/>
      <c r="AJ10" s="69"/>
      <c r="AK10" s="69"/>
      <c r="AL10" s="69"/>
      <c r="AM10" s="69"/>
      <c r="AN10" s="69"/>
      <c r="AO10" s="69"/>
      <c r="AP10" s="69" t="s">
        <v>48</v>
      </c>
      <c r="AQ10" s="65" t="str">
        <f ca="1">IF(ALL_02FEB2024[[#This Row],[Days to Contract End]]&lt;=90,"R",IF(AND(ALL_02FEB2024[[#This Row],[Days to Contract End]]&lt;180),"A","G"))</f>
        <v>G</v>
      </c>
      <c r="AR10" s="70"/>
      <c r="AT10" s="52"/>
      <c r="AU10" s="52"/>
    </row>
    <row r="11" spans="2:47" ht="30">
      <c r="B11" s="147" t="s">
        <v>41</v>
      </c>
      <c r="C11" s="71" t="str">
        <f>IFERROR(VLOOKUP(B11,'QB Consolidated Contacts'!$A$1:$F$333,6),"-")</f>
        <v>Prakash Rikhilal</v>
      </c>
      <c r="D11" s="208"/>
      <c r="E11" s="62" t="s">
        <v>158</v>
      </c>
      <c r="F11" s="62" t="s">
        <v>175</v>
      </c>
      <c r="G11" s="62" t="s">
        <v>630</v>
      </c>
      <c r="H11" s="144" t="s">
        <v>285</v>
      </c>
      <c r="I11" s="54" t="s">
        <v>39</v>
      </c>
      <c r="J11" s="54" t="s">
        <v>39</v>
      </c>
      <c r="K11" s="54" t="s">
        <v>315</v>
      </c>
      <c r="L11" s="31" t="s">
        <v>42</v>
      </c>
      <c r="M11" s="31"/>
      <c r="N11" s="31"/>
      <c r="O11" s="55"/>
      <c r="P11" s="55"/>
      <c r="Q11" s="77"/>
      <c r="R11" s="77"/>
      <c r="S11" s="56" t="s">
        <v>286</v>
      </c>
      <c r="T11" s="63">
        <v>45069</v>
      </c>
      <c r="U11" s="64" t="s">
        <v>46</v>
      </c>
      <c r="V11" s="63" t="str">
        <f>IFERROR(EDATE(T11,U11),"")</f>
        <v/>
      </c>
      <c r="W11" s="64" t="str">
        <f ca="1">IFERROR(V11-TODAY(),"")</f>
        <v/>
      </c>
      <c r="X11" s="65"/>
      <c r="Y11" s="65"/>
      <c r="Z11" s="67"/>
      <c r="AA11" s="67"/>
      <c r="AB11" s="67"/>
      <c r="AC11" s="67"/>
      <c r="AD11" s="67"/>
      <c r="AE11" s="67"/>
      <c r="AF11" s="66"/>
      <c r="AG11" s="66"/>
      <c r="AH11" s="69"/>
      <c r="AI11" s="69"/>
      <c r="AJ11" s="69"/>
      <c r="AK11" s="69"/>
      <c r="AL11" s="69"/>
      <c r="AM11" s="69"/>
      <c r="AN11" s="69"/>
      <c r="AO11" s="69"/>
      <c r="AP11" s="66"/>
      <c r="AQ11" s="64" t="str">
        <f ca="1">IF(ALL_02FEB2024[[#This Row],[Days to Contract End]]&lt;=90,"R",IF(AND(ALL_02FEB2024[[#This Row],[Days to Contract End]]&lt;180),"A","G"))</f>
        <v>G</v>
      </c>
      <c r="AR11" s="70"/>
      <c r="AT11" s="52"/>
      <c r="AU11" s="52"/>
    </row>
    <row r="12" spans="2:47" ht="30">
      <c r="B12" s="147" t="s">
        <v>41</v>
      </c>
      <c r="C12" s="71" t="str">
        <f>IFERROR(VLOOKUP(B12,'QB Consolidated Contacts'!$A$1:$F$333,6),"-")</f>
        <v>Prakash Rikhilal</v>
      </c>
      <c r="D12" s="208"/>
      <c r="E12" s="62" t="s">
        <v>158</v>
      </c>
      <c r="F12" s="62" t="s">
        <v>175</v>
      </c>
      <c r="G12" s="62" t="s">
        <v>630</v>
      </c>
      <c r="H12" s="142" t="s">
        <v>287</v>
      </c>
      <c r="I12" s="54" t="s">
        <v>39</v>
      </c>
      <c r="J12" s="54" t="s">
        <v>39</v>
      </c>
      <c r="K12" s="54" t="s">
        <v>315</v>
      </c>
      <c r="L12" s="31" t="s">
        <v>42</v>
      </c>
      <c r="M12" s="31" t="s">
        <v>39</v>
      </c>
      <c r="N12" s="31"/>
      <c r="O12" s="55"/>
      <c r="P12" s="55"/>
      <c r="Q12" s="77"/>
      <c r="R12" s="77"/>
      <c r="S12" s="56">
        <f>332+24</f>
        <v>356</v>
      </c>
      <c r="T12" s="63">
        <v>45214</v>
      </c>
      <c r="U12" s="64" t="s">
        <v>220</v>
      </c>
      <c r="V12" s="63" t="str">
        <f>IFERROR(EDATE(T12,U12),"")</f>
        <v/>
      </c>
      <c r="W12" s="64" t="str">
        <f ca="1">IFERROR(V12-TODAY(),"")</f>
        <v/>
      </c>
      <c r="X12" s="65"/>
      <c r="Y12" s="65"/>
      <c r="Z12" s="67"/>
      <c r="AA12" s="67"/>
      <c r="AB12" s="67"/>
      <c r="AC12" s="67"/>
      <c r="AD12" s="67"/>
      <c r="AE12" s="67"/>
      <c r="AF12" s="66"/>
      <c r="AG12" s="66"/>
      <c r="AH12" s="69"/>
      <c r="AI12" s="69"/>
      <c r="AJ12" s="69"/>
      <c r="AK12" s="69"/>
      <c r="AL12" s="69"/>
      <c r="AM12" s="69"/>
      <c r="AN12" s="69"/>
      <c r="AO12" s="69"/>
      <c r="AP12" s="66"/>
      <c r="AQ12" s="64" t="str">
        <f ca="1">IF(ALL_02FEB2024[[#This Row],[Days to Contract End]]&lt;=90,"R",IF(AND(ALL_02FEB2024[[#This Row],[Days to Contract End]]&lt;180),"A","G"))</f>
        <v>G</v>
      </c>
      <c r="AR12" s="70"/>
      <c r="AT12" s="52"/>
      <c r="AU12" s="52"/>
    </row>
    <row r="13" spans="2:47" ht="30">
      <c r="B13" s="147" t="s">
        <v>41</v>
      </c>
      <c r="C13" s="61" t="str">
        <f>IFERROR(VLOOKUP(B13,'QB Consolidated Contacts'!$A$1:$F$333,6),"-")</f>
        <v>Prakash Rikhilal</v>
      </c>
      <c r="D13" s="207" t="s">
        <v>132</v>
      </c>
      <c r="E13" s="62" t="s">
        <v>158</v>
      </c>
      <c r="F13" s="62" t="s">
        <v>175</v>
      </c>
      <c r="G13" s="62" t="s">
        <v>630</v>
      </c>
      <c r="H13" s="143" t="s">
        <v>281</v>
      </c>
      <c r="I13" s="54" t="s">
        <v>39</v>
      </c>
      <c r="J13" s="54"/>
      <c r="K13" s="54" t="s">
        <v>315</v>
      </c>
      <c r="L13" s="31" t="s">
        <v>42</v>
      </c>
      <c r="M13" s="31" t="s">
        <v>39</v>
      </c>
      <c r="N13" s="31"/>
      <c r="O13" s="31" t="s">
        <v>282</v>
      </c>
      <c r="P13" s="31"/>
      <c r="Q13" s="77"/>
      <c r="R13" s="77">
        <v>229600</v>
      </c>
      <c r="S13" s="56">
        <v>1312</v>
      </c>
      <c r="T13" s="63">
        <v>44586</v>
      </c>
      <c r="U13" s="64" t="s">
        <v>46</v>
      </c>
      <c r="V13" s="63" t="str">
        <f t="shared" si="0"/>
        <v/>
      </c>
      <c r="W13" s="65" t="str">
        <f t="shared" ca="1" si="1"/>
        <v/>
      </c>
      <c r="X13" s="65" t="s">
        <v>40</v>
      </c>
      <c r="Y13" s="65"/>
      <c r="Z13" s="66" t="s">
        <v>48</v>
      </c>
      <c r="AA13" s="67" t="s">
        <v>48</v>
      </c>
      <c r="AB13" s="68"/>
      <c r="AC13" s="68"/>
      <c r="AD13" s="68" t="s">
        <v>48</v>
      </c>
      <c r="AE13" s="68"/>
      <c r="AF13" s="69" t="s">
        <v>48</v>
      </c>
      <c r="AG13" s="69" t="s">
        <v>48</v>
      </c>
      <c r="AH13" s="69"/>
      <c r="AI13" s="69"/>
      <c r="AJ13" s="69"/>
      <c r="AK13" s="69"/>
      <c r="AL13" s="69"/>
      <c r="AM13" s="69"/>
      <c r="AN13" s="69"/>
      <c r="AO13" s="69"/>
      <c r="AP13" s="69" t="s">
        <v>48</v>
      </c>
      <c r="AQ13" s="65" t="str">
        <f ca="1">IF(ALL_02FEB2024[[#This Row],[Days to Contract End]]&lt;=90,"R",IF(AND(ALL_02FEB2024[[#This Row],[Days to Contract End]]&lt;180),"A","G"))</f>
        <v>G</v>
      </c>
      <c r="AR13" s="70"/>
      <c r="AT13" s="52"/>
      <c r="AU13" s="52"/>
    </row>
    <row r="14" spans="2:47">
      <c r="B14" s="147" t="s">
        <v>55</v>
      </c>
      <c r="C14" s="61" t="str">
        <f>IFERROR(VLOOKUP(B14,'QB Consolidated Contacts'!$A$1:$F$333,6),"-")</f>
        <v>Kevin Hostintler</v>
      </c>
      <c r="D14" s="207"/>
      <c r="E14" s="62" t="s">
        <v>43</v>
      </c>
      <c r="F14" s="62" t="s">
        <v>44</v>
      </c>
      <c r="G14" s="62"/>
      <c r="H14" s="143" t="s">
        <v>45</v>
      </c>
      <c r="I14" s="54" t="s">
        <v>40</v>
      </c>
      <c r="J14" s="54"/>
      <c r="K14" s="54" t="s">
        <v>309</v>
      </c>
      <c r="L14" s="31" t="s">
        <v>42</v>
      </c>
      <c r="M14" s="31"/>
      <c r="N14" s="31"/>
      <c r="O14" s="31" t="s">
        <v>48</v>
      </c>
      <c r="P14" s="31"/>
      <c r="Q14" s="77"/>
      <c r="R14" s="77"/>
      <c r="S14" s="56" t="s">
        <v>48</v>
      </c>
      <c r="T14" s="63">
        <v>43252</v>
      </c>
      <c r="U14" s="64" t="s">
        <v>46</v>
      </c>
      <c r="V14" s="63" t="str">
        <f t="shared" si="0"/>
        <v/>
      </c>
      <c r="W14" s="65" t="str">
        <f t="shared" ca="1" si="1"/>
        <v/>
      </c>
      <c r="X14" s="65" t="s">
        <v>39</v>
      </c>
      <c r="Y14" s="65"/>
      <c r="Z14" s="66" t="s">
        <v>47</v>
      </c>
      <c r="AA14" s="67" t="s">
        <v>47</v>
      </c>
      <c r="AB14" s="68"/>
      <c r="AC14" s="68"/>
      <c r="AD14" s="68" t="s">
        <v>48</v>
      </c>
      <c r="AE14" s="68"/>
      <c r="AF14" s="69" t="s">
        <v>48</v>
      </c>
      <c r="AG14" s="69" t="s">
        <v>48</v>
      </c>
      <c r="AH14" s="69"/>
      <c r="AI14" s="69"/>
      <c r="AJ14" s="69"/>
      <c r="AK14" s="69"/>
      <c r="AL14" s="69"/>
      <c r="AM14" s="69"/>
      <c r="AN14" s="69"/>
      <c r="AO14" s="69"/>
      <c r="AP14" s="69" t="s">
        <v>49</v>
      </c>
      <c r="AQ14" s="65" t="str">
        <f ca="1">IF(ALL_02FEB2024[[#This Row],[Days to Contract End]]&lt;=90,"R",IF(AND(ALL_02FEB2024[[#This Row],[Days to Contract End]]&lt;180),"A","G"))</f>
        <v>G</v>
      </c>
      <c r="AR14" s="70" t="s">
        <v>56</v>
      </c>
      <c r="AT14" s="52"/>
      <c r="AU14" s="52"/>
    </row>
    <row r="15" spans="2:47" ht="30">
      <c r="B15" s="147" t="s">
        <v>55</v>
      </c>
      <c r="C15" s="61" t="str">
        <f>IFERROR(VLOOKUP(B15,'QB Consolidated Contacts'!$A$1:$F$333,6),"-")</f>
        <v>Kevin Hostintler</v>
      </c>
      <c r="D15" s="207" t="s">
        <v>132</v>
      </c>
      <c r="E15" s="62" t="s">
        <v>158</v>
      </c>
      <c r="F15" s="62" t="s">
        <v>288</v>
      </c>
      <c r="G15" s="62"/>
      <c r="H15" s="143" t="s">
        <v>308</v>
      </c>
      <c r="I15" s="54" t="s">
        <v>39</v>
      </c>
      <c r="J15" s="54"/>
      <c r="K15" s="54" t="s">
        <v>309</v>
      </c>
      <c r="L15" s="31" t="s">
        <v>42</v>
      </c>
      <c r="M15" s="31"/>
      <c r="N15" s="31"/>
      <c r="O15" s="31" t="s">
        <v>48</v>
      </c>
      <c r="P15" s="31"/>
      <c r="Q15" s="77"/>
      <c r="R15" s="77"/>
      <c r="S15" s="56" t="s">
        <v>310</v>
      </c>
      <c r="T15" s="63">
        <v>44713</v>
      </c>
      <c r="U15" s="64" t="s">
        <v>46</v>
      </c>
      <c r="V15" s="63" t="str">
        <f t="shared" si="0"/>
        <v/>
      </c>
      <c r="W15" s="65" t="str">
        <f t="shared" ca="1" si="1"/>
        <v/>
      </c>
      <c r="X15" s="65" t="s">
        <v>40</v>
      </c>
      <c r="Y15" s="65"/>
      <c r="Z15" s="66" t="s">
        <v>48</v>
      </c>
      <c r="AA15" s="67" t="s">
        <v>48</v>
      </c>
      <c r="AB15" s="68"/>
      <c r="AC15" s="68"/>
      <c r="AD15" s="68" t="s">
        <v>48</v>
      </c>
      <c r="AE15" s="68"/>
      <c r="AF15" s="69" t="s">
        <v>48</v>
      </c>
      <c r="AG15" s="69" t="s">
        <v>48</v>
      </c>
      <c r="AH15" s="69"/>
      <c r="AI15" s="69"/>
      <c r="AJ15" s="69"/>
      <c r="AK15" s="69"/>
      <c r="AL15" s="69"/>
      <c r="AM15" s="69"/>
      <c r="AN15" s="69"/>
      <c r="AO15" s="69"/>
      <c r="AP15" s="69" t="s">
        <v>48</v>
      </c>
      <c r="AQ15" s="65" t="str">
        <f ca="1">IF(ALL_02FEB2024[[#This Row],[Days to Contract End]]&lt;=90,"R",IF(AND(ALL_02FEB2024[[#This Row],[Days to Contract End]]&lt;180),"A","G"))</f>
        <v>G</v>
      </c>
      <c r="AR15" s="70"/>
      <c r="AT15" s="52"/>
      <c r="AU15" s="52"/>
    </row>
    <row r="16" spans="2:47" ht="30">
      <c r="B16" s="147" t="s">
        <v>311</v>
      </c>
      <c r="C16" s="61" t="str">
        <f>IFERROR(VLOOKUP(B16,'QB Consolidated Contacts'!$A$1:$F$333,6),"-")</f>
        <v>Christina Green</v>
      </c>
      <c r="D16" s="207" t="s">
        <v>132</v>
      </c>
      <c r="E16" s="62" t="s">
        <v>158</v>
      </c>
      <c r="F16" s="62" t="s">
        <v>288</v>
      </c>
      <c r="G16" s="62"/>
      <c r="H16" s="143" t="s">
        <v>312</v>
      </c>
      <c r="I16" s="54" t="s">
        <v>39</v>
      </c>
      <c r="J16" s="54"/>
      <c r="K16" s="54" t="s">
        <v>309</v>
      </c>
      <c r="L16" s="31" t="s">
        <v>42</v>
      </c>
      <c r="M16" s="31"/>
      <c r="N16" s="31"/>
      <c r="O16" s="31" t="s">
        <v>290</v>
      </c>
      <c r="P16" s="31"/>
      <c r="Q16" s="77">
        <v>4500</v>
      </c>
      <c r="R16" s="77"/>
      <c r="S16" s="56">
        <v>30</v>
      </c>
      <c r="T16" s="63">
        <v>43466</v>
      </c>
      <c r="U16" s="64" t="s">
        <v>46</v>
      </c>
      <c r="V16" s="63" t="str">
        <f t="shared" si="0"/>
        <v/>
      </c>
      <c r="W16" s="65" t="str">
        <f t="shared" ca="1" si="1"/>
        <v/>
      </c>
      <c r="X16" s="65" t="s">
        <v>40</v>
      </c>
      <c r="Y16" s="65"/>
      <c r="Z16" s="66" t="s">
        <v>48</v>
      </c>
      <c r="AA16" s="67" t="s">
        <v>48</v>
      </c>
      <c r="AB16" s="68"/>
      <c r="AC16" s="68"/>
      <c r="AD16" s="68" t="s">
        <v>48</v>
      </c>
      <c r="AE16" s="68"/>
      <c r="AF16" s="69" t="s">
        <v>48</v>
      </c>
      <c r="AG16" s="69" t="s">
        <v>48</v>
      </c>
      <c r="AH16" s="69"/>
      <c r="AI16" s="69"/>
      <c r="AJ16" s="69"/>
      <c r="AK16" s="69"/>
      <c r="AL16" s="69"/>
      <c r="AM16" s="69"/>
      <c r="AN16" s="69"/>
      <c r="AO16" s="69"/>
      <c r="AP16" s="69" t="s">
        <v>48</v>
      </c>
      <c r="AQ16" s="65" t="str">
        <f ca="1">IF(ALL_02FEB2024[[#This Row],[Days to Contract End]]&lt;=90,"R",IF(AND(ALL_02FEB2024[[#This Row],[Days to Contract End]]&lt;180),"A","G"))</f>
        <v>G</v>
      </c>
      <c r="AR16" s="70"/>
      <c r="AT16" s="52"/>
      <c r="AU16" s="52"/>
    </row>
    <row r="17" spans="2:47" ht="30">
      <c r="B17" s="147" t="s">
        <v>59</v>
      </c>
      <c r="C17" s="61" t="str">
        <f>IFERROR(VLOOKUP(B17,'QB Consolidated Contacts'!$A$1:$F$333,6),"-")</f>
        <v>Roger Santone</v>
      </c>
      <c r="D17" s="207" t="s">
        <v>132</v>
      </c>
      <c r="E17" s="62" t="s">
        <v>158</v>
      </c>
      <c r="F17" s="62" t="s">
        <v>288</v>
      </c>
      <c r="G17" s="62"/>
      <c r="H17" s="143" t="s">
        <v>316</v>
      </c>
      <c r="I17" s="54" t="s">
        <v>39</v>
      </c>
      <c r="J17" s="54"/>
      <c r="K17" s="54" t="s">
        <v>309</v>
      </c>
      <c r="L17" s="31" t="s">
        <v>42</v>
      </c>
      <c r="M17" s="31"/>
      <c r="N17" s="31"/>
      <c r="O17" s="55" t="s">
        <v>290</v>
      </c>
      <c r="P17" s="55"/>
      <c r="Q17" s="77">
        <v>5000</v>
      </c>
      <c r="R17" s="77">
        <f>ALL_02FEB2024[[#This Row],[Monthly Budget]]*12</f>
        <v>60000</v>
      </c>
      <c r="S17" s="56">
        <v>30</v>
      </c>
      <c r="T17" s="63">
        <v>44743</v>
      </c>
      <c r="U17" s="64" t="s">
        <v>317</v>
      </c>
      <c r="V17" s="63" t="str">
        <f>IFERROR(EOMONTH(T17,U17),"")</f>
        <v/>
      </c>
      <c r="W17" s="65" t="str">
        <f t="shared" ca="1" si="1"/>
        <v/>
      </c>
      <c r="X17" s="65" t="s">
        <v>40</v>
      </c>
      <c r="Y17" s="65"/>
      <c r="Z17" s="66" t="s">
        <v>48</v>
      </c>
      <c r="AA17" s="67" t="s">
        <v>48</v>
      </c>
      <c r="AB17" s="68"/>
      <c r="AC17" s="68"/>
      <c r="AD17" s="68" t="s">
        <v>48</v>
      </c>
      <c r="AE17" s="68"/>
      <c r="AF17" s="69" t="s">
        <v>48</v>
      </c>
      <c r="AG17" s="69" t="s">
        <v>48</v>
      </c>
      <c r="AH17" s="69"/>
      <c r="AI17" s="69"/>
      <c r="AJ17" s="69"/>
      <c r="AK17" s="69"/>
      <c r="AL17" s="69"/>
      <c r="AM17" s="69"/>
      <c r="AN17" s="69"/>
      <c r="AO17" s="69"/>
      <c r="AP17" s="69" t="s">
        <v>48</v>
      </c>
      <c r="AQ17" s="65" t="str">
        <f ca="1">IF(ALL_02FEB2024[[#This Row],[Days to Contract End]]&lt;=90,"R",IF(AND(ALL_02FEB2024[[#This Row],[Days to Contract End]]&lt;180),"A","G"))</f>
        <v>G</v>
      </c>
      <c r="AR17" s="70"/>
      <c r="AS17" s="51"/>
      <c r="AT17" s="52"/>
      <c r="AU17" s="52"/>
    </row>
    <row r="18" spans="2:47">
      <c r="B18" s="147" t="s">
        <v>63</v>
      </c>
      <c r="C18" s="71" t="str">
        <f>IFERROR(VLOOKUP(B18,'QB Consolidated Contacts'!$A$1:$F$333,6),"-")</f>
        <v>Roger Santone</v>
      </c>
      <c r="D18" s="208"/>
      <c r="E18" s="62" t="s">
        <v>43</v>
      </c>
      <c r="F18" s="62" t="s">
        <v>44</v>
      </c>
      <c r="G18" s="62"/>
      <c r="H18" s="142" t="s">
        <v>64</v>
      </c>
      <c r="I18" s="54" t="s">
        <v>39</v>
      </c>
      <c r="J18" s="54" t="s">
        <v>39</v>
      </c>
      <c r="K18" s="54" t="s">
        <v>315</v>
      </c>
      <c r="L18" s="31" t="s">
        <v>42</v>
      </c>
      <c r="M18" s="31"/>
      <c r="N18" s="31"/>
      <c r="O18" s="55"/>
      <c r="P18" s="55"/>
      <c r="Q18" s="77"/>
      <c r="R18" s="77"/>
      <c r="S18" s="56"/>
      <c r="T18" s="63">
        <v>45139</v>
      </c>
      <c r="U18" s="64" t="s">
        <v>46</v>
      </c>
      <c r="V18" s="63" t="str">
        <f>IFERROR(EDATE(T18,U18),"")</f>
        <v/>
      </c>
      <c r="W18" s="64" t="str">
        <f t="shared" ref="W18:W22" ca="1" si="2">IFERROR(V18-TODAY(),"")</f>
        <v/>
      </c>
      <c r="X18" s="65"/>
      <c r="Y18" s="65"/>
      <c r="Z18" s="66"/>
      <c r="AA18" s="67"/>
      <c r="AB18" s="67"/>
      <c r="AC18" s="67"/>
      <c r="AD18" s="67"/>
      <c r="AE18" s="67"/>
      <c r="AF18" s="66"/>
      <c r="AG18" s="66"/>
      <c r="AH18" s="69"/>
      <c r="AI18" s="69"/>
      <c r="AJ18" s="69"/>
      <c r="AK18" s="69"/>
      <c r="AL18" s="69"/>
      <c r="AM18" s="69"/>
      <c r="AN18" s="69"/>
      <c r="AO18" s="69"/>
      <c r="AP18" s="66"/>
      <c r="AQ18" s="64" t="str">
        <f ca="1">IF(ALL_02FEB2024[[#This Row],[Days to Contract End]]&lt;=90,"R",IF(AND(ALL_02FEB2024[[#This Row],[Days to Contract End]]&lt;180),"A","G"))</f>
        <v>G</v>
      </c>
      <c r="AR18" s="70"/>
      <c r="AS18" s="51"/>
      <c r="AT18" s="52"/>
      <c r="AU18" s="52"/>
    </row>
    <row r="19" spans="2:47" ht="30">
      <c r="B19" s="147" t="s">
        <v>63</v>
      </c>
      <c r="C19" s="71" t="str">
        <f>IFERROR(VLOOKUP(B19,'QB Consolidated Contacts'!$A$1:$F$333,6),"-")</f>
        <v>Roger Santone</v>
      </c>
      <c r="D19" s="208" t="s">
        <v>174</v>
      </c>
      <c r="E19" s="62" t="s">
        <v>158</v>
      </c>
      <c r="F19" s="62" t="s">
        <v>175</v>
      </c>
      <c r="G19" s="62" t="s">
        <v>631</v>
      </c>
      <c r="H19" s="144" t="s">
        <v>327</v>
      </c>
      <c r="I19" s="54" t="s">
        <v>39</v>
      </c>
      <c r="J19" s="54" t="s">
        <v>39</v>
      </c>
      <c r="K19" s="54" t="s">
        <v>315</v>
      </c>
      <c r="L19" s="31" t="s">
        <v>42</v>
      </c>
      <c r="M19" s="31"/>
      <c r="N19" s="31"/>
      <c r="O19" s="55"/>
      <c r="P19" s="55"/>
      <c r="Q19" s="77"/>
      <c r="R19" s="77"/>
      <c r="S19" s="56"/>
      <c r="T19" s="63">
        <v>45160</v>
      </c>
      <c r="U19" s="64" t="s">
        <v>220</v>
      </c>
      <c r="V19" s="63" t="str">
        <f>IFERROR(EDATE(T19,U19),"")</f>
        <v/>
      </c>
      <c r="W19" s="64" t="str">
        <f t="shared" ca="1" si="2"/>
        <v/>
      </c>
      <c r="X19" s="65"/>
      <c r="Y19" s="65"/>
      <c r="Z19" s="66"/>
      <c r="AA19" s="67"/>
      <c r="AB19" s="67"/>
      <c r="AC19" s="67"/>
      <c r="AD19" s="67"/>
      <c r="AE19" s="67"/>
      <c r="AF19" s="66"/>
      <c r="AG19" s="66"/>
      <c r="AH19" s="69"/>
      <c r="AI19" s="69"/>
      <c r="AJ19" s="69"/>
      <c r="AK19" s="69"/>
      <c r="AL19" s="69"/>
      <c r="AM19" s="69"/>
      <c r="AN19" s="69"/>
      <c r="AO19" s="69"/>
      <c r="AP19" s="66"/>
      <c r="AQ19" s="64" t="str">
        <f ca="1">IF(ALL_02FEB2024[[#This Row],[Days to Contract End]]&lt;=90,"R",IF(AND(ALL_02FEB2024[[#This Row],[Days to Contract End]]&lt;180),"A","G"))</f>
        <v>G</v>
      </c>
      <c r="AR19" s="70"/>
      <c r="AS19" s="51"/>
      <c r="AT19" s="52"/>
      <c r="AU19" s="52"/>
    </row>
    <row r="20" spans="2:47" ht="30">
      <c r="B20" s="147" t="s">
        <v>63</v>
      </c>
      <c r="C20" s="71" t="str">
        <f>IFERROR(VLOOKUP(B20,'QB Consolidated Contacts'!$A$1:$F$333,6),"-")</f>
        <v>Roger Santone</v>
      </c>
      <c r="D20" s="208" t="s">
        <v>174</v>
      </c>
      <c r="E20" s="62" t="s">
        <v>158</v>
      </c>
      <c r="F20" s="62" t="s">
        <v>175</v>
      </c>
      <c r="G20" s="62" t="s">
        <v>632</v>
      </c>
      <c r="H20" s="144" t="s">
        <v>335</v>
      </c>
      <c r="I20" s="54" t="s">
        <v>39</v>
      </c>
      <c r="J20" s="54" t="s">
        <v>39</v>
      </c>
      <c r="K20" s="54" t="s">
        <v>315</v>
      </c>
      <c r="L20" s="31" t="s">
        <v>42</v>
      </c>
      <c r="M20" s="31" t="s">
        <v>39</v>
      </c>
      <c r="N20" s="31"/>
      <c r="O20" s="55"/>
      <c r="P20" s="55"/>
      <c r="Q20" s="77"/>
      <c r="R20" s="77"/>
      <c r="S20" s="56"/>
      <c r="T20" s="63">
        <v>45152</v>
      </c>
      <c r="U20" s="64" t="s">
        <v>220</v>
      </c>
      <c r="V20" s="63">
        <v>45535</v>
      </c>
      <c r="W20" s="64">
        <f t="shared" ca="1" si="2"/>
        <v>-558</v>
      </c>
      <c r="X20" s="65"/>
      <c r="Y20" s="65"/>
      <c r="Z20" s="66"/>
      <c r="AA20" s="67"/>
      <c r="AB20" s="67"/>
      <c r="AC20" s="67"/>
      <c r="AD20" s="67"/>
      <c r="AE20" s="67"/>
      <c r="AF20" s="66"/>
      <c r="AG20" s="66"/>
      <c r="AH20" s="69"/>
      <c r="AI20" s="69"/>
      <c r="AJ20" s="69"/>
      <c r="AK20" s="69"/>
      <c r="AL20" s="69"/>
      <c r="AM20" s="69"/>
      <c r="AN20" s="69"/>
      <c r="AO20" s="69"/>
      <c r="AP20" s="66"/>
      <c r="AQ20" s="64" t="str">
        <f ca="1">IF(ALL_02FEB2024[[#This Row],[Days to Contract End]]&lt;=90,"R",IF(AND(ALL_02FEB2024[[#This Row],[Days to Contract End]]&lt;180),"A","G"))</f>
        <v>R</v>
      </c>
      <c r="AR20" s="70"/>
      <c r="AS20" s="51"/>
      <c r="AT20" s="52"/>
      <c r="AU20" s="52"/>
    </row>
    <row r="21" spans="2:47" ht="30">
      <c r="B21" s="147" t="s">
        <v>63</v>
      </c>
      <c r="C21" s="71" t="str">
        <f>IFERROR(VLOOKUP(B21,'QB Consolidated Contacts'!$A$1:$F$333,6),"-")</f>
        <v>Roger Santone</v>
      </c>
      <c r="D21" s="208" t="s">
        <v>174</v>
      </c>
      <c r="E21" s="62" t="s">
        <v>158</v>
      </c>
      <c r="F21" s="62" t="s">
        <v>175</v>
      </c>
      <c r="G21" s="62" t="s">
        <v>633</v>
      </c>
      <c r="H21" s="142" t="s">
        <v>325</v>
      </c>
      <c r="I21" s="54" t="s">
        <v>39</v>
      </c>
      <c r="J21" s="54" t="s">
        <v>39</v>
      </c>
      <c r="K21" s="54" t="s">
        <v>315</v>
      </c>
      <c r="L21" s="31" t="s">
        <v>42</v>
      </c>
      <c r="M21" s="31"/>
      <c r="N21" s="31"/>
      <c r="O21" s="55"/>
      <c r="P21" s="55"/>
      <c r="Q21" s="77"/>
      <c r="R21" s="77"/>
      <c r="S21" s="56">
        <v>80</v>
      </c>
      <c r="T21" s="63">
        <v>45118</v>
      </c>
      <c r="U21" s="64" t="s">
        <v>220</v>
      </c>
      <c r="V21" s="63" t="str">
        <f>IFERROR(EDATE(T21,U21),"")</f>
        <v/>
      </c>
      <c r="W21" s="64" t="str">
        <f t="shared" ca="1" si="2"/>
        <v/>
      </c>
      <c r="X21" s="65"/>
      <c r="Y21" s="65"/>
      <c r="Z21" s="66"/>
      <c r="AA21" s="67"/>
      <c r="AB21" s="67"/>
      <c r="AC21" s="67"/>
      <c r="AD21" s="67"/>
      <c r="AE21" s="67"/>
      <c r="AF21" s="66"/>
      <c r="AG21" s="66"/>
      <c r="AH21" s="69"/>
      <c r="AI21" s="69"/>
      <c r="AJ21" s="69"/>
      <c r="AK21" s="69"/>
      <c r="AL21" s="69"/>
      <c r="AM21" s="69"/>
      <c r="AN21" s="69"/>
      <c r="AO21" s="69"/>
      <c r="AP21" s="66"/>
      <c r="AQ21" s="64" t="str">
        <f ca="1">IF(ALL_02FEB2024[[#This Row],[Days to Contract End]]&lt;=90,"R",IF(AND(ALL_02FEB2024[[#This Row],[Days to Contract End]]&lt;180),"A","G"))</f>
        <v>G</v>
      </c>
      <c r="AR21" s="70"/>
      <c r="AS21" s="51"/>
      <c r="AT21" s="52"/>
      <c r="AU21" s="52"/>
    </row>
    <row r="22" spans="2:47" ht="30">
      <c r="B22" s="211" t="s">
        <v>63</v>
      </c>
      <c r="C22" s="71" t="str">
        <f>IFERROR(VLOOKUP(B22,'QB Consolidated Contacts'!$A$1:$F$333,6),"-")</f>
        <v>Roger Santone</v>
      </c>
      <c r="D22" s="208" t="s">
        <v>174</v>
      </c>
      <c r="E22" s="212" t="s">
        <v>158</v>
      </c>
      <c r="F22" s="212" t="s">
        <v>175</v>
      </c>
      <c r="G22" s="212" t="s">
        <v>633</v>
      </c>
      <c r="H22" s="213" t="s">
        <v>334</v>
      </c>
      <c r="I22" s="214" t="s">
        <v>39</v>
      </c>
      <c r="J22" s="214" t="s">
        <v>39</v>
      </c>
      <c r="K22" s="214" t="s">
        <v>315</v>
      </c>
      <c r="L22" s="215" t="s">
        <v>42</v>
      </c>
      <c r="M22" s="31"/>
      <c r="N22" s="31"/>
      <c r="O22" s="55" t="s">
        <v>290</v>
      </c>
      <c r="P22" s="55" t="s">
        <v>48</v>
      </c>
      <c r="Q22" s="77">
        <v>12250</v>
      </c>
      <c r="R22" s="77">
        <f>ALL_02FEB2024[[#This Row],[Monthly Budget]]*12</f>
        <v>147000</v>
      </c>
      <c r="S22" s="56">
        <f>16*12</f>
        <v>192</v>
      </c>
      <c r="T22" s="216">
        <v>45033</v>
      </c>
      <c r="U22" s="217">
        <v>12</v>
      </c>
      <c r="V22" s="218">
        <f>IFERROR(EDATE(T22,U22),"")</f>
        <v>45399</v>
      </c>
      <c r="W22" s="217">
        <f t="shared" ca="1" si="2"/>
        <v>-694</v>
      </c>
      <c r="X22" s="65"/>
      <c r="Y22" s="65"/>
      <c r="Z22" s="67"/>
      <c r="AA22" s="67"/>
      <c r="AB22" s="67"/>
      <c r="AC22" s="67"/>
      <c r="AD22" s="67"/>
      <c r="AE22" s="67"/>
      <c r="AF22" s="66"/>
      <c r="AG22" s="66"/>
      <c r="AH22" s="66"/>
      <c r="AI22" s="66"/>
      <c r="AJ22" s="66"/>
      <c r="AK22" s="66"/>
      <c r="AL22" s="66"/>
      <c r="AM22" s="66"/>
      <c r="AN22" s="66"/>
      <c r="AO22" s="66"/>
      <c r="AP22" s="66"/>
      <c r="AQ22" s="219" t="str">
        <f ca="1">IF(ALL_02FEB2024[[#This Row],[Days to Contract End]]&lt;=90,"R",IF(AND(ALL_02FEB2024[[#This Row],[Days to Contract End]]&lt;180),"A","G"))</f>
        <v>R</v>
      </c>
      <c r="AR22" s="220"/>
      <c r="AS22" s="51"/>
      <c r="AT22" s="52"/>
      <c r="AU22" s="52"/>
    </row>
    <row r="23" spans="2:47" ht="30">
      <c r="B23" s="147" t="s">
        <v>59</v>
      </c>
      <c r="C23" s="61" t="str">
        <f>IFERROR(VLOOKUP(B23,'QB Consolidated Contacts'!$A$1:$F$333,6),"-")</f>
        <v>Roger Santone</v>
      </c>
      <c r="D23" s="207"/>
      <c r="E23" s="62" t="s">
        <v>43</v>
      </c>
      <c r="F23" s="62" t="s">
        <v>44</v>
      </c>
      <c r="G23" s="62"/>
      <c r="H23" s="143" t="s">
        <v>45</v>
      </c>
      <c r="I23" s="54" t="s">
        <v>39</v>
      </c>
      <c r="J23" s="54"/>
      <c r="K23" s="54" t="s">
        <v>315</v>
      </c>
      <c r="L23" s="31" t="s">
        <v>42</v>
      </c>
      <c r="M23" s="31"/>
      <c r="N23" s="31"/>
      <c r="O23" s="55" t="s">
        <v>48</v>
      </c>
      <c r="P23" s="55"/>
      <c r="Q23" s="77"/>
      <c r="R23" s="77"/>
      <c r="S23" s="56" t="s">
        <v>48</v>
      </c>
      <c r="T23" s="63">
        <v>42880</v>
      </c>
      <c r="U23" s="64" t="s">
        <v>46</v>
      </c>
      <c r="V23" s="63" t="str">
        <f t="shared" ref="V23:V72" si="3">IFERROR(EDATE(T23,U23),"")</f>
        <v/>
      </c>
      <c r="W23" s="65" t="str">
        <f t="shared" ca="1" si="1"/>
        <v/>
      </c>
      <c r="X23" s="65" t="s">
        <v>39</v>
      </c>
      <c r="Y23" s="65"/>
      <c r="Z23" s="66" t="s">
        <v>60</v>
      </c>
      <c r="AA23" s="67" t="s">
        <v>47</v>
      </c>
      <c r="AB23" s="67"/>
      <c r="AC23" s="67"/>
      <c r="AD23" s="67" t="s">
        <v>61</v>
      </c>
      <c r="AE23" s="67"/>
      <c r="AF23" s="66" t="s">
        <v>62</v>
      </c>
      <c r="AG23" s="66" t="s">
        <v>47</v>
      </c>
      <c r="AH23" s="69"/>
      <c r="AI23" s="69"/>
      <c r="AJ23" s="69"/>
      <c r="AK23" s="69"/>
      <c r="AL23" s="69"/>
      <c r="AM23" s="69"/>
      <c r="AN23" s="69"/>
      <c r="AO23" s="69"/>
      <c r="AP23" s="66" t="s">
        <v>47</v>
      </c>
      <c r="AQ23" s="65" t="str">
        <f ca="1">IF(ALL_02FEB2024[[#This Row],[Days to Contract End]]&lt;=90,"R",IF(AND(ALL_02FEB2024[[#This Row],[Days to Contract End]]&lt;180),"A","G"))</f>
        <v>G</v>
      </c>
      <c r="AR23" s="70"/>
      <c r="AS23" s="51"/>
      <c r="AT23" s="52"/>
      <c r="AU23" s="52"/>
    </row>
    <row r="24" spans="2:47" ht="30">
      <c r="B24" s="147" t="s">
        <v>345</v>
      </c>
      <c r="C24" s="71">
        <f>IFERROR(VLOOKUP(B24,'QB Consolidated Contacts'!$A$1:$F$333,6),"-")</f>
        <v>0</v>
      </c>
      <c r="D24" s="208" t="s">
        <v>132</v>
      </c>
      <c r="E24" s="62" t="s">
        <v>158</v>
      </c>
      <c r="F24" s="62" t="s">
        <v>175</v>
      </c>
      <c r="G24" s="62"/>
      <c r="H24" s="142" t="s">
        <v>346</v>
      </c>
      <c r="I24" s="54" t="s">
        <v>40</v>
      </c>
      <c r="J24" s="54"/>
      <c r="K24" s="54" t="s">
        <v>347</v>
      </c>
      <c r="L24" s="31" t="s">
        <v>42</v>
      </c>
      <c r="M24" s="31"/>
      <c r="N24" s="31"/>
      <c r="O24" s="55"/>
      <c r="P24" s="55"/>
      <c r="Q24" s="77"/>
      <c r="R24" s="77"/>
      <c r="S24" s="56"/>
      <c r="T24" s="63">
        <v>45036</v>
      </c>
      <c r="U24" s="64"/>
      <c r="V24" s="63">
        <f t="shared" si="3"/>
        <v>45036</v>
      </c>
      <c r="W24" s="64">
        <v>2693</v>
      </c>
      <c r="X24" s="65"/>
      <c r="Y24" s="65"/>
      <c r="Z24" s="66"/>
      <c r="AA24" s="67"/>
      <c r="AB24" s="67"/>
      <c r="AC24" s="67"/>
      <c r="AD24" s="67"/>
      <c r="AE24" s="67"/>
      <c r="AF24" s="66"/>
      <c r="AG24" s="66"/>
      <c r="AH24" s="66"/>
      <c r="AI24" s="66"/>
      <c r="AJ24" s="66"/>
      <c r="AK24" s="66"/>
      <c r="AL24" s="66"/>
      <c r="AM24" s="66"/>
      <c r="AN24" s="66"/>
      <c r="AO24" s="66"/>
      <c r="AP24" s="66"/>
      <c r="AQ24" s="65" t="str">
        <f>IF(ALL_02FEB2024[[#This Row],[Days to Contract End]]&lt;=90,"R",IF(AND(ALL_02FEB2024[[#This Row],[Days to Contract End]]&lt;180),"A","G"))</f>
        <v>G</v>
      </c>
      <c r="AR24" s="70"/>
      <c r="AS24" s="51"/>
      <c r="AT24" s="52"/>
      <c r="AU24" s="52"/>
    </row>
    <row r="25" spans="2:47" ht="30">
      <c r="B25" s="147" t="s">
        <v>73</v>
      </c>
      <c r="C25" s="71">
        <f>IFERROR(VLOOKUP(B25,'QB Consolidated Contacts'!$A$1:$F$333,6),"-")</f>
        <v>0</v>
      </c>
      <c r="D25" s="208"/>
      <c r="E25" s="62" t="s">
        <v>66</v>
      </c>
      <c r="F25" s="62" t="s">
        <v>44</v>
      </c>
      <c r="G25" s="62"/>
      <c r="H25" s="143" t="s">
        <v>78</v>
      </c>
      <c r="I25" s="54" t="s">
        <v>39</v>
      </c>
      <c r="J25" s="54"/>
      <c r="K25" s="54" t="s">
        <v>315</v>
      </c>
      <c r="L25" s="31" t="s">
        <v>42</v>
      </c>
      <c r="M25" s="31"/>
      <c r="N25" s="31"/>
      <c r="O25" s="55"/>
      <c r="P25" s="55"/>
      <c r="Q25" s="77"/>
      <c r="R25" s="77"/>
      <c r="S25" s="56"/>
      <c r="T25" s="63">
        <v>44883</v>
      </c>
      <c r="U25" s="64">
        <v>24</v>
      </c>
      <c r="V25" s="63">
        <f t="shared" si="3"/>
        <v>45614</v>
      </c>
      <c r="W25" s="65">
        <f t="shared" ca="1" si="1"/>
        <v>-479</v>
      </c>
      <c r="X25" s="65" t="s">
        <v>40</v>
      </c>
      <c r="Y25" s="65"/>
      <c r="Z25" s="66"/>
      <c r="AA25" s="67"/>
      <c r="AB25" s="67"/>
      <c r="AC25" s="67"/>
      <c r="AD25" s="67"/>
      <c r="AE25" s="67"/>
      <c r="AF25" s="66"/>
      <c r="AG25" s="66"/>
      <c r="AH25" s="66"/>
      <c r="AI25" s="66"/>
      <c r="AJ25" s="66"/>
      <c r="AK25" s="66"/>
      <c r="AL25" s="66"/>
      <c r="AM25" s="66"/>
      <c r="AN25" s="66"/>
      <c r="AO25" s="66"/>
      <c r="AP25" s="66"/>
      <c r="AQ25" s="65" t="str">
        <f ca="1">IF(ALL_02FEB2024[[#This Row],[Days to Contract End]]&lt;=90,"R",IF(AND(ALL_02FEB2024[[#This Row],[Days to Contract End]]&lt;180),"A","G"))</f>
        <v>R</v>
      </c>
      <c r="AR25" s="70"/>
      <c r="AS25" s="51"/>
      <c r="AT25" s="52"/>
      <c r="AU25" s="52"/>
    </row>
    <row r="26" spans="2:47" ht="30">
      <c r="B26" s="147" t="s">
        <v>348</v>
      </c>
      <c r="C26" s="71">
        <f>IFERROR(VLOOKUP(B26,'QB Consolidated Contacts'!$A$1:$F$333,6),"-")</f>
        <v>0</v>
      </c>
      <c r="D26" s="208"/>
      <c r="E26" s="62" t="s">
        <v>43</v>
      </c>
      <c r="F26" s="62" t="s">
        <v>44</v>
      </c>
      <c r="G26" s="62"/>
      <c r="H26" s="142" t="s">
        <v>45</v>
      </c>
      <c r="I26" s="54" t="s">
        <v>39</v>
      </c>
      <c r="J26" s="54"/>
      <c r="K26" s="54" t="s">
        <v>315</v>
      </c>
      <c r="L26" s="31" t="s">
        <v>42</v>
      </c>
      <c r="M26" s="31"/>
      <c r="N26" s="31"/>
      <c r="O26" s="55"/>
      <c r="P26" s="55"/>
      <c r="Q26" s="77"/>
      <c r="R26" s="77"/>
      <c r="S26" s="56"/>
      <c r="T26" s="63">
        <v>45016</v>
      </c>
      <c r="U26" s="64">
        <v>36</v>
      </c>
      <c r="V26" s="63">
        <f t="shared" si="3"/>
        <v>46112</v>
      </c>
      <c r="W26" s="64">
        <f t="shared" ca="1" si="1"/>
        <v>19</v>
      </c>
      <c r="X26" s="65"/>
      <c r="Y26" s="65"/>
      <c r="Z26" s="66"/>
      <c r="AA26" s="67"/>
      <c r="AB26" s="67"/>
      <c r="AC26" s="67"/>
      <c r="AD26" s="67"/>
      <c r="AE26" s="67"/>
      <c r="AF26" s="66"/>
      <c r="AG26" s="66"/>
      <c r="AH26" s="69"/>
      <c r="AI26" s="69"/>
      <c r="AJ26" s="69"/>
      <c r="AK26" s="69"/>
      <c r="AL26" s="69"/>
      <c r="AM26" s="69"/>
      <c r="AN26" s="69"/>
      <c r="AO26" s="69"/>
      <c r="AP26" s="66"/>
      <c r="AQ26" s="64" t="str">
        <f ca="1">IF(ALL_02FEB2024[[#This Row],[Days to Contract End]]&lt;=90,"R",IF(AND(ALL_02FEB2024[[#This Row],[Days to Contract End]]&lt;180),"A","G"))</f>
        <v>R</v>
      </c>
      <c r="AR26" s="70"/>
      <c r="AS26" s="51"/>
      <c r="AT26" s="52"/>
      <c r="AU26" s="52"/>
    </row>
    <row r="27" spans="2:47" ht="30">
      <c r="B27" s="147" t="s">
        <v>348</v>
      </c>
      <c r="C27" s="71">
        <f>IFERROR(VLOOKUP(B27,'QB Consolidated Contacts'!$A$1:$F$333,6),"-")</f>
        <v>0</v>
      </c>
      <c r="D27" s="208" t="s">
        <v>174</v>
      </c>
      <c r="E27" s="62" t="s">
        <v>158</v>
      </c>
      <c r="F27" s="62" t="s">
        <v>175</v>
      </c>
      <c r="G27" s="62"/>
      <c r="H27" s="142" t="s">
        <v>349</v>
      </c>
      <c r="I27" s="54" t="s">
        <v>39</v>
      </c>
      <c r="J27" s="54"/>
      <c r="K27" s="54" t="s">
        <v>317</v>
      </c>
      <c r="L27" s="31" t="s">
        <v>42</v>
      </c>
      <c r="M27" s="31"/>
      <c r="N27" s="31"/>
      <c r="O27" s="55"/>
      <c r="P27" s="55"/>
      <c r="Q27" s="77"/>
      <c r="R27" s="77"/>
      <c r="S27" s="56"/>
      <c r="T27" s="63">
        <v>45012</v>
      </c>
      <c r="U27" s="64">
        <v>2</v>
      </c>
      <c r="V27" s="63">
        <f t="shared" si="3"/>
        <v>45073</v>
      </c>
      <c r="W27" s="65">
        <f t="shared" ca="1" si="1"/>
        <v>-1020</v>
      </c>
      <c r="X27" s="65"/>
      <c r="Y27" s="65"/>
      <c r="Z27" s="67"/>
      <c r="AA27" s="67"/>
      <c r="AB27" s="67"/>
      <c r="AC27" s="67"/>
      <c r="AD27" s="67"/>
      <c r="AE27" s="67"/>
      <c r="AF27" s="66"/>
      <c r="AG27" s="66"/>
      <c r="AH27" s="66"/>
      <c r="AI27" s="66"/>
      <c r="AJ27" s="66"/>
      <c r="AK27" s="66"/>
      <c r="AL27" s="66"/>
      <c r="AM27" s="66"/>
      <c r="AN27" s="66"/>
      <c r="AO27" s="66"/>
      <c r="AP27" s="66"/>
      <c r="AQ27" s="65" t="str">
        <f ca="1">IF(ALL_02FEB2024[[#This Row],[Days to Contract End]]&lt;=90,"R",IF(AND(ALL_02FEB2024[[#This Row],[Days to Contract End]]&lt;180),"A","G"))</f>
        <v>R</v>
      </c>
      <c r="AR27" s="70"/>
      <c r="AS27" s="51"/>
      <c r="AT27" s="52"/>
      <c r="AU27" s="52"/>
    </row>
    <row r="28" spans="2:47">
      <c r="B28" s="147" t="s">
        <v>75</v>
      </c>
      <c r="C28" s="71">
        <f>IFERROR(VLOOKUP(B28,'QB Consolidated Contacts'!$A$1:$F$333,6),"-")</f>
        <v>0</v>
      </c>
      <c r="D28" s="208"/>
      <c r="E28" s="62" t="s">
        <v>43</v>
      </c>
      <c r="F28" s="62" t="s">
        <v>44</v>
      </c>
      <c r="G28" s="62"/>
      <c r="H28" s="143" t="s">
        <v>45</v>
      </c>
      <c r="I28" s="54" t="s">
        <v>40</v>
      </c>
      <c r="J28" s="54"/>
      <c r="K28" s="54" t="s">
        <v>309</v>
      </c>
      <c r="L28" s="31" t="s">
        <v>42</v>
      </c>
      <c r="M28" s="31"/>
      <c r="N28" s="31"/>
      <c r="O28" s="55" t="s">
        <v>48</v>
      </c>
      <c r="P28" s="55"/>
      <c r="Q28" s="77"/>
      <c r="R28" s="77"/>
      <c r="S28" s="56" t="s">
        <v>48</v>
      </c>
      <c r="T28" s="63"/>
      <c r="U28" s="64"/>
      <c r="V28" s="63">
        <f t="shared" si="3"/>
        <v>0</v>
      </c>
      <c r="W28" s="64">
        <f t="shared" ca="1" si="1"/>
        <v>-46093</v>
      </c>
      <c r="X28" s="65" t="s">
        <v>39</v>
      </c>
      <c r="Y28" s="65"/>
      <c r="Z28" s="66" t="s">
        <v>61</v>
      </c>
      <c r="AA28" s="67" t="s">
        <v>61</v>
      </c>
      <c r="AB28" s="67" t="s">
        <v>76</v>
      </c>
      <c r="AC28" s="67" t="s">
        <v>47</v>
      </c>
      <c r="AD28" s="67"/>
      <c r="AE28" s="67"/>
      <c r="AF28" s="66"/>
      <c r="AG28" s="66"/>
      <c r="AH28" s="69"/>
      <c r="AI28" s="69"/>
      <c r="AJ28" s="69"/>
      <c r="AK28" s="69"/>
      <c r="AL28" s="69"/>
      <c r="AM28" s="69"/>
      <c r="AN28" s="69"/>
      <c r="AO28" s="69"/>
      <c r="AP28" s="66" t="s">
        <v>47</v>
      </c>
      <c r="AQ28" s="64" t="str">
        <f ca="1">IF(ALL_02FEB2024[[#This Row],[Days to Contract End]]&lt;=90,"R",IF(AND(ALL_02FEB2024[[#This Row],[Days to Contract End]]&lt;180),"A","G"))</f>
        <v>R</v>
      </c>
      <c r="AR28" s="70" t="s">
        <v>77</v>
      </c>
      <c r="AS28" s="51"/>
      <c r="AT28" s="52"/>
      <c r="AU28" s="52"/>
    </row>
    <row r="29" spans="2:47">
      <c r="B29" s="147" t="s">
        <v>75</v>
      </c>
      <c r="C29" s="71">
        <f>IFERROR(VLOOKUP(B29,'QB Consolidated Contacts'!$A$1:$F$333,6),"-")</f>
        <v>0</v>
      </c>
      <c r="D29" s="208"/>
      <c r="E29" s="62" t="s">
        <v>66</v>
      </c>
      <c r="F29" s="62" t="s">
        <v>44</v>
      </c>
      <c r="G29" s="62"/>
      <c r="H29" s="143" t="s">
        <v>78</v>
      </c>
      <c r="I29" s="54" t="s">
        <v>40</v>
      </c>
      <c r="J29" s="54"/>
      <c r="K29" s="54" t="s">
        <v>309</v>
      </c>
      <c r="L29" s="31" t="s">
        <v>42</v>
      </c>
      <c r="M29" s="31"/>
      <c r="N29" s="31"/>
      <c r="O29" s="55"/>
      <c r="P29" s="55"/>
      <c r="Q29" s="77"/>
      <c r="R29" s="77"/>
      <c r="S29" s="56"/>
      <c r="T29" s="63"/>
      <c r="U29" s="64"/>
      <c r="V29" s="63">
        <f t="shared" si="3"/>
        <v>0</v>
      </c>
      <c r="W29" s="64">
        <f t="shared" ca="1" si="1"/>
        <v>-46093</v>
      </c>
      <c r="X29" s="65"/>
      <c r="Y29" s="65"/>
      <c r="Z29" s="66"/>
      <c r="AA29" s="67"/>
      <c r="AB29" s="67"/>
      <c r="AC29" s="67"/>
      <c r="AD29" s="67"/>
      <c r="AE29" s="67"/>
      <c r="AF29" s="66"/>
      <c r="AG29" s="66"/>
      <c r="AH29" s="69"/>
      <c r="AI29" s="69"/>
      <c r="AJ29" s="69"/>
      <c r="AK29" s="69"/>
      <c r="AL29" s="69"/>
      <c r="AM29" s="69"/>
      <c r="AN29" s="69"/>
      <c r="AO29" s="69"/>
      <c r="AP29" s="66"/>
      <c r="AQ29" s="64" t="str">
        <f ca="1">IF(ALL_02FEB2024[[#This Row],[Days to Contract End]]&lt;=90,"R",IF(AND(ALL_02FEB2024[[#This Row],[Days to Contract End]]&lt;180),"A","G"))</f>
        <v>R</v>
      </c>
      <c r="AR29" s="70"/>
      <c r="AS29" s="51"/>
      <c r="AT29" s="52"/>
      <c r="AU29" s="52"/>
    </row>
    <row r="30" spans="2:47" ht="30">
      <c r="B30" s="147" t="s">
        <v>75</v>
      </c>
      <c r="C30" s="71">
        <f>IFERROR(VLOOKUP(B30,'QB Consolidated Contacts'!$A$1:$F$333,6),"-")</f>
        <v>0</v>
      </c>
      <c r="D30" s="208"/>
      <c r="E30" s="62" t="s">
        <v>351</v>
      </c>
      <c r="F30" s="62" t="s">
        <v>175</v>
      </c>
      <c r="G30" s="62"/>
      <c r="H30" s="143" t="s">
        <v>352</v>
      </c>
      <c r="I30" s="54" t="s">
        <v>40</v>
      </c>
      <c r="J30" s="54"/>
      <c r="K30" s="54" t="s">
        <v>309</v>
      </c>
      <c r="L30" s="31" t="s">
        <v>42</v>
      </c>
      <c r="M30" s="31"/>
      <c r="N30" s="99" t="s">
        <v>353</v>
      </c>
      <c r="O30" s="55"/>
      <c r="P30" s="55"/>
      <c r="Q30" s="77"/>
      <c r="R30" s="77"/>
      <c r="S30" s="56"/>
      <c r="T30" s="63"/>
      <c r="U30" s="64"/>
      <c r="V30" s="63">
        <f t="shared" si="3"/>
        <v>0</v>
      </c>
      <c r="W30" s="65">
        <f t="shared" ca="1" si="1"/>
        <v>-46093</v>
      </c>
      <c r="X30" s="65" t="s">
        <v>40</v>
      </c>
      <c r="Y30" s="65"/>
      <c r="Z30" s="66"/>
      <c r="AA30" s="67"/>
      <c r="AB30" s="67"/>
      <c r="AC30" s="67"/>
      <c r="AD30" s="67"/>
      <c r="AE30" s="67"/>
      <c r="AF30" s="66"/>
      <c r="AG30" s="66"/>
      <c r="AH30" s="69"/>
      <c r="AI30" s="69"/>
      <c r="AJ30" s="69"/>
      <c r="AK30" s="69"/>
      <c r="AL30" s="69"/>
      <c r="AM30" s="69"/>
      <c r="AN30" s="69"/>
      <c r="AO30" s="69"/>
      <c r="AP30" s="66"/>
      <c r="AQ30" s="65" t="str">
        <f ca="1">IF(ALL_02FEB2024[[#This Row],[Days to Contract End]]&lt;=90,"R",IF(AND(ALL_02FEB2024[[#This Row],[Days to Contract End]]&lt;180),"A","G"))</f>
        <v>R</v>
      </c>
      <c r="AR30" s="70"/>
      <c r="AS30" s="51"/>
      <c r="AT30" s="52"/>
      <c r="AU30" s="52"/>
    </row>
    <row r="31" spans="2:47" ht="30">
      <c r="B31" s="147" t="s">
        <v>63</v>
      </c>
      <c r="C31" s="71" t="str">
        <f>IFERROR(VLOOKUP(B31,'QB Consolidated Contacts'!$A$1:$F$333,6),"-")</f>
        <v>Roger Santone</v>
      </c>
      <c r="D31" s="208" t="s">
        <v>342</v>
      </c>
      <c r="E31" s="62" t="s">
        <v>158</v>
      </c>
      <c r="F31" s="62" t="s">
        <v>175</v>
      </c>
      <c r="G31" s="62" t="s">
        <v>633</v>
      </c>
      <c r="H31" s="142" t="s">
        <v>343</v>
      </c>
      <c r="I31" s="54" t="s">
        <v>39</v>
      </c>
      <c r="J31" s="54" t="s">
        <v>39</v>
      </c>
      <c r="K31" s="54" t="s">
        <v>315</v>
      </c>
      <c r="L31" s="31" t="s">
        <v>51</v>
      </c>
      <c r="M31" s="31"/>
      <c r="N31" s="31"/>
      <c r="O31" s="55"/>
      <c r="P31" s="55"/>
      <c r="Q31" s="77"/>
      <c r="R31" s="77"/>
      <c r="S31" s="56"/>
      <c r="T31" s="63">
        <v>45634</v>
      </c>
      <c r="U31" s="64" t="s">
        <v>220</v>
      </c>
      <c r="V31" s="63">
        <v>45382</v>
      </c>
      <c r="W31" s="64">
        <f ca="1">IFERROR(V31-TODAY(),"")</f>
        <v>-711</v>
      </c>
      <c r="X31" s="65"/>
      <c r="Y31" s="65"/>
      <c r="Z31" s="66"/>
      <c r="AA31" s="67"/>
      <c r="AB31" s="67"/>
      <c r="AC31" s="67"/>
      <c r="AD31" s="67"/>
      <c r="AE31" s="67"/>
      <c r="AF31" s="66"/>
      <c r="AG31" s="66"/>
      <c r="AH31" s="69"/>
      <c r="AI31" s="69"/>
      <c r="AJ31" s="69"/>
      <c r="AK31" s="69"/>
      <c r="AL31" s="69"/>
      <c r="AM31" s="69"/>
      <c r="AN31" s="69"/>
      <c r="AO31" s="69"/>
      <c r="AP31" s="66"/>
      <c r="AQ31" s="64" t="str">
        <f ca="1">IF(ALL_02FEB2024[[#This Row],[Days to Contract End]]&lt;=90,"R",IF(AND(ALL_02FEB2024[[#This Row],[Days to Contract End]]&lt;180),"A","G"))</f>
        <v>R</v>
      </c>
      <c r="AR31" s="70"/>
      <c r="AS31" s="51"/>
      <c r="AT31" s="52"/>
      <c r="AU31" s="52"/>
    </row>
    <row r="32" spans="2:47" ht="30">
      <c r="B32" s="147" t="s">
        <v>354</v>
      </c>
      <c r="C32" s="71">
        <f>IFERROR(VLOOKUP(B32,'QB Consolidated Contacts'!$A$1:$F$333,6),"-")</f>
        <v>0</v>
      </c>
      <c r="D32" s="208" t="s">
        <v>132</v>
      </c>
      <c r="E32" s="62" t="s">
        <v>158</v>
      </c>
      <c r="F32" s="62" t="s">
        <v>175</v>
      </c>
      <c r="G32" s="62"/>
      <c r="H32" s="143" t="s">
        <v>355</v>
      </c>
      <c r="I32" s="54" t="s">
        <v>40</v>
      </c>
      <c r="J32" s="54"/>
      <c r="K32" s="54" t="s">
        <v>108</v>
      </c>
      <c r="L32" s="31" t="s">
        <v>42</v>
      </c>
      <c r="M32" s="31"/>
      <c r="N32" s="31"/>
      <c r="O32" s="55" t="s">
        <v>290</v>
      </c>
      <c r="P32" s="55"/>
      <c r="Q32" s="77"/>
      <c r="R32" s="77"/>
      <c r="S32" s="56">
        <v>100</v>
      </c>
      <c r="T32" s="63">
        <v>44835</v>
      </c>
      <c r="U32" s="64">
        <v>24</v>
      </c>
      <c r="V32" s="63">
        <f t="shared" si="3"/>
        <v>45566</v>
      </c>
      <c r="W32" s="65">
        <f t="shared" ca="1" si="1"/>
        <v>-527</v>
      </c>
      <c r="X32" s="65" t="s">
        <v>40</v>
      </c>
      <c r="Y32" s="65"/>
      <c r="Z32" s="66"/>
      <c r="AA32" s="67"/>
      <c r="AB32" s="67"/>
      <c r="AC32" s="67"/>
      <c r="AD32" s="67"/>
      <c r="AE32" s="67"/>
      <c r="AF32" s="66"/>
      <c r="AG32" s="66"/>
      <c r="AH32" s="69"/>
      <c r="AI32" s="69"/>
      <c r="AJ32" s="69"/>
      <c r="AK32" s="69"/>
      <c r="AL32" s="69"/>
      <c r="AM32" s="69"/>
      <c r="AN32" s="69"/>
      <c r="AO32" s="69"/>
      <c r="AP32" s="66"/>
      <c r="AQ32" s="65" t="str">
        <f ca="1">IF(ALL_02FEB2024[[#This Row],[Days to Contract End]]&lt;=90,"R",IF(AND(ALL_02FEB2024[[#This Row],[Days to Contract End]]&lt;180),"A","G"))</f>
        <v>R</v>
      </c>
      <c r="AR32" s="70"/>
      <c r="AS32" s="51"/>
      <c r="AT32" s="52"/>
      <c r="AU32" s="52"/>
    </row>
    <row r="33" spans="2:47">
      <c r="B33" s="147" t="s">
        <v>83</v>
      </c>
      <c r="C33" s="71">
        <f>IFERROR(VLOOKUP(B33,'QB Consolidated Contacts'!$A$1:$F$333,6),"-")</f>
        <v>0</v>
      </c>
      <c r="D33" s="208"/>
      <c r="E33" s="62" t="s">
        <v>66</v>
      </c>
      <c r="F33" s="62" t="s">
        <v>44</v>
      </c>
      <c r="G33" s="62"/>
      <c r="H33" s="143" t="s">
        <v>84</v>
      </c>
      <c r="I33" s="54" t="s">
        <v>39</v>
      </c>
      <c r="J33" s="54"/>
      <c r="K33" s="54"/>
      <c r="L33" s="31" t="s">
        <v>42</v>
      </c>
      <c r="M33" s="31"/>
      <c r="N33" s="31"/>
      <c r="O33" s="55"/>
      <c r="P33" s="55"/>
      <c r="Q33" s="77"/>
      <c r="R33" s="77"/>
      <c r="S33" s="56"/>
      <c r="T33" s="63">
        <v>44897</v>
      </c>
      <c r="U33" s="64">
        <v>36</v>
      </c>
      <c r="V33" s="63">
        <f t="shared" si="3"/>
        <v>45993</v>
      </c>
      <c r="W33" s="65">
        <f t="shared" ca="1" si="1"/>
        <v>-100</v>
      </c>
      <c r="X33" s="65"/>
      <c r="Y33" s="65"/>
      <c r="Z33" s="67"/>
      <c r="AA33" s="67"/>
      <c r="AB33" s="67"/>
      <c r="AC33" s="67"/>
      <c r="AD33" s="67"/>
      <c r="AE33" s="67"/>
      <c r="AF33" s="66"/>
      <c r="AG33" s="66"/>
      <c r="AH33" s="69"/>
      <c r="AI33" s="69"/>
      <c r="AJ33" s="69"/>
      <c r="AK33" s="69"/>
      <c r="AL33" s="69"/>
      <c r="AM33" s="69"/>
      <c r="AN33" s="69"/>
      <c r="AO33" s="69"/>
      <c r="AP33" s="66"/>
      <c r="AQ33" s="65" t="str">
        <f ca="1">IF(ALL_02FEB2024[[#This Row],[Days to Contract End]]&lt;=90,"R",IF(AND(ALL_02FEB2024[[#This Row],[Days to Contract End]]&lt;180),"A","G"))</f>
        <v>R</v>
      </c>
      <c r="AR33" s="70"/>
      <c r="AS33" s="51"/>
      <c r="AT33" s="52"/>
      <c r="AU33" s="52"/>
    </row>
    <row r="34" spans="2:47">
      <c r="B34" s="147" t="s">
        <v>85</v>
      </c>
      <c r="C34" s="71">
        <f>IFERROR(VLOOKUP(B34,'QB Consolidated Contacts'!$A$1:$F$333,6),"-")</f>
        <v>0</v>
      </c>
      <c r="D34" s="208"/>
      <c r="E34" s="62" t="s">
        <v>66</v>
      </c>
      <c r="F34" s="62" t="s">
        <v>44</v>
      </c>
      <c r="G34" s="62"/>
      <c r="H34" s="145" t="s">
        <v>78</v>
      </c>
      <c r="I34" s="54" t="s">
        <v>39</v>
      </c>
      <c r="J34" s="54"/>
      <c r="K34" s="54" t="s">
        <v>315</v>
      </c>
      <c r="L34" s="31" t="s">
        <v>42</v>
      </c>
      <c r="M34" s="31"/>
      <c r="N34" s="31"/>
      <c r="O34" s="55" t="s">
        <v>48</v>
      </c>
      <c r="P34" s="55"/>
      <c r="Q34" s="77"/>
      <c r="R34" s="77"/>
      <c r="S34" s="56" t="s">
        <v>48</v>
      </c>
      <c r="T34" s="63">
        <v>44887</v>
      </c>
      <c r="U34" s="64">
        <v>36</v>
      </c>
      <c r="V34" s="63">
        <f t="shared" si="3"/>
        <v>45983</v>
      </c>
      <c r="W34" s="64">
        <f t="shared" ca="1" si="1"/>
        <v>-110</v>
      </c>
      <c r="X34" s="65" t="s">
        <v>39</v>
      </c>
      <c r="Y34" s="65"/>
      <c r="Z34" s="67" t="s">
        <v>60</v>
      </c>
      <c r="AA34" s="67" t="s">
        <v>47</v>
      </c>
      <c r="AB34" s="67" t="s">
        <v>86</v>
      </c>
      <c r="AC34" s="67"/>
      <c r="AD34" s="67"/>
      <c r="AE34" s="67"/>
      <c r="AF34" s="66"/>
      <c r="AG34" s="66"/>
      <c r="AH34" s="66"/>
      <c r="AI34" s="66"/>
      <c r="AJ34" s="66"/>
      <c r="AK34" s="66" t="s">
        <v>47</v>
      </c>
      <c r="AL34" s="66" t="s">
        <v>47</v>
      </c>
      <c r="AM34" s="66" t="s">
        <v>87</v>
      </c>
      <c r="AN34" s="66" t="s">
        <v>88</v>
      </c>
      <c r="AO34" s="66" t="s">
        <v>47</v>
      </c>
      <c r="AP34" s="66"/>
      <c r="AQ34" s="65" t="str">
        <f ca="1">IF(ALL_02FEB2024[[#This Row],[Days to Contract End]]&lt;=90,"R",IF(AND(ALL_02FEB2024[[#This Row],[Days to Contract End]]&lt;180),"A","G"))</f>
        <v>R</v>
      </c>
      <c r="AR34" s="70"/>
      <c r="AS34" s="51"/>
      <c r="AT34" s="52"/>
      <c r="AU34" s="52"/>
    </row>
    <row r="35" spans="2:47">
      <c r="B35" s="147" t="s">
        <v>85</v>
      </c>
      <c r="C35" s="71">
        <f>IFERROR(VLOOKUP(B35,'QB Consolidated Contacts'!$A$1:$F$333,6),"-")</f>
        <v>0</v>
      </c>
      <c r="D35" s="208"/>
      <c r="E35" s="62" t="s">
        <v>43</v>
      </c>
      <c r="F35" s="62" t="s">
        <v>44</v>
      </c>
      <c r="G35" s="62"/>
      <c r="H35" s="143" t="s">
        <v>45</v>
      </c>
      <c r="I35" s="54" t="s">
        <v>40</v>
      </c>
      <c r="J35" s="54"/>
      <c r="K35" s="54"/>
      <c r="L35" s="31"/>
      <c r="M35" s="31"/>
      <c r="N35" s="31"/>
      <c r="O35" s="55"/>
      <c r="P35" s="55"/>
      <c r="Q35" s="77"/>
      <c r="R35" s="77"/>
      <c r="S35" s="56"/>
      <c r="T35" s="63">
        <v>26</v>
      </c>
      <c r="U35" s="64"/>
      <c r="V35" s="63">
        <f t="shared" si="3"/>
        <v>26</v>
      </c>
      <c r="W35" s="64">
        <f t="shared" ca="1" si="1"/>
        <v>-46067</v>
      </c>
      <c r="X35" s="65"/>
      <c r="Y35" s="65"/>
      <c r="Z35" s="67"/>
      <c r="AA35" s="67"/>
      <c r="AB35" s="67"/>
      <c r="AC35" s="67"/>
      <c r="AD35" s="67"/>
      <c r="AE35" s="67"/>
      <c r="AF35" s="66"/>
      <c r="AG35" s="66"/>
      <c r="AH35" s="66"/>
      <c r="AI35" s="66"/>
      <c r="AJ35" s="66"/>
      <c r="AK35" s="66"/>
      <c r="AL35" s="66"/>
      <c r="AM35" s="66"/>
      <c r="AN35" s="66"/>
      <c r="AO35" s="66"/>
      <c r="AP35" s="66"/>
      <c r="AQ35" s="65" t="str">
        <f ca="1">IF(ALL_02FEB2024[[#This Row],[Days to Contract End]]&lt;=90,"R",IF(AND(ALL_02FEB2024[[#This Row],[Days to Contract End]]&lt;180),"A","G"))</f>
        <v>R</v>
      </c>
      <c r="AR35" s="70"/>
      <c r="AS35" s="51"/>
      <c r="AT35" s="52"/>
      <c r="AU35" s="52"/>
    </row>
    <row r="36" spans="2:47" ht="30">
      <c r="B36" s="147" t="s">
        <v>85</v>
      </c>
      <c r="C36" s="71">
        <f>IFERROR(VLOOKUP(B36,'QB Consolidated Contacts'!$A$1:$F$333,6),"-")</f>
        <v>0</v>
      </c>
      <c r="D36" s="208" t="s">
        <v>174</v>
      </c>
      <c r="E36" s="62" t="s">
        <v>158</v>
      </c>
      <c r="F36" s="62" t="s">
        <v>175</v>
      </c>
      <c r="G36" s="62"/>
      <c r="H36" s="143" t="s">
        <v>357</v>
      </c>
      <c r="I36" s="54" t="s">
        <v>39</v>
      </c>
      <c r="J36" s="54"/>
      <c r="K36" s="54" t="s">
        <v>317</v>
      </c>
      <c r="L36" s="31" t="s">
        <v>42</v>
      </c>
      <c r="M36" s="31"/>
      <c r="N36" s="31"/>
      <c r="O36" s="55"/>
      <c r="P36" s="55"/>
      <c r="Q36" s="77"/>
      <c r="R36" s="77"/>
      <c r="S36" s="56"/>
      <c r="T36" s="63">
        <v>44901</v>
      </c>
      <c r="U36" s="64">
        <v>12</v>
      </c>
      <c r="V36" s="63">
        <f t="shared" si="3"/>
        <v>45266</v>
      </c>
      <c r="W36" s="64">
        <f t="shared" ca="1" si="1"/>
        <v>-827</v>
      </c>
      <c r="X36" s="65"/>
      <c r="Y36" s="65"/>
      <c r="Z36" s="67"/>
      <c r="AA36" s="67"/>
      <c r="AB36" s="67"/>
      <c r="AC36" s="67"/>
      <c r="AD36" s="67"/>
      <c r="AE36" s="67"/>
      <c r="AF36" s="66"/>
      <c r="AG36" s="66"/>
      <c r="AH36" s="69"/>
      <c r="AI36" s="69"/>
      <c r="AJ36" s="69"/>
      <c r="AK36" s="69"/>
      <c r="AL36" s="69"/>
      <c r="AM36" s="69"/>
      <c r="AN36" s="69"/>
      <c r="AO36" s="69"/>
      <c r="AP36" s="66"/>
      <c r="AQ36" s="64" t="str">
        <f ca="1">IF(ALL_02FEB2024[[#This Row],[Days to Contract End]]&lt;=90,"R",IF(AND(ALL_02FEB2024[[#This Row],[Days to Contract End]]&lt;180),"A","G"))</f>
        <v>R</v>
      </c>
      <c r="AR36" s="70"/>
      <c r="AS36" s="51"/>
      <c r="AT36" s="52"/>
      <c r="AU36" s="52"/>
    </row>
    <row r="37" spans="2:47" ht="30">
      <c r="B37" s="147" t="s">
        <v>85</v>
      </c>
      <c r="C37" s="71">
        <f>IFERROR(VLOOKUP(B37,'QB Consolidated Contacts'!$A$1:$F$333,6),"-")</f>
        <v>0</v>
      </c>
      <c r="D37" s="208" t="s">
        <v>174</v>
      </c>
      <c r="E37" s="62" t="s">
        <v>158</v>
      </c>
      <c r="F37" s="62" t="s">
        <v>175</v>
      </c>
      <c r="G37" s="62"/>
      <c r="H37" s="143" t="s">
        <v>358</v>
      </c>
      <c r="I37" s="54" t="s">
        <v>39</v>
      </c>
      <c r="J37" s="54"/>
      <c r="K37" s="54" t="s">
        <v>317</v>
      </c>
      <c r="L37" s="31" t="s">
        <v>42</v>
      </c>
      <c r="M37" s="31"/>
      <c r="N37" s="31"/>
      <c r="O37" s="55"/>
      <c r="P37" s="55"/>
      <c r="Q37" s="77"/>
      <c r="R37" s="77"/>
      <c r="S37" s="56"/>
      <c r="T37" s="63">
        <v>44907</v>
      </c>
      <c r="U37" s="64">
        <v>12</v>
      </c>
      <c r="V37" s="63">
        <f t="shared" si="3"/>
        <v>45272</v>
      </c>
      <c r="W37" s="64">
        <f t="shared" ca="1" si="1"/>
        <v>-821</v>
      </c>
      <c r="X37" s="65"/>
      <c r="Y37" s="65"/>
      <c r="Z37" s="67"/>
      <c r="AA37" s="67"/>
      <c r="AB37" s="67"/>
      <c r="AC37" s="67"/>
      <c r="AD37" s="67"/>
      <c r="AE37" s="67"/>
      <c r="AF37" s="66"/>
      <c r="AG37" s="66"/>
      <c r="AH37" s="69"/>
      <c r="AI37" s="69"/>
      <c r="AJ37" s="69"/>
      <c r="AK37" s="69"/>
      <c r="AL37" s="69"/>
      <c r="AM37" s="69"/>
      <c r="AN37" s="69"/>
      <c r="AO37" s="69"/>
      <c r="AP37" s="66"/>
      <c r="AQ37" s="64" t="str">
        <f ca="1">IF(ALL_02FEB2024[[#This Row],[Days to Contract End]]&lt;=90,"R",IF(AND(ALL_02FEB2024[[#This Row],[Days to Contract End]]&lt;180),"A","G"))</f>
        <v>R</v>
      </c>
      <c r="AR37" s="70" t="s">
        <v>359</v>
      </c>
      <c r="AS37" s="51"/>
      <c r="AT37" s="52"/>
      <c r="AU37" s="52"/>
    </row>
    <row r="38" spans="2:47" ht="30">
      <c r="B38" s="147" t="s">
        <v>85</v>
      </c>
      <c r="C38" s="71">
        <f>IFERROR(VLOOKUP(B38,'QB Consolidated Contacts'!$A$1:$F$333,6),"-")</f>
        <v>0</v>
      </c>
      <c r="D38" s="208" t="s">
        <v>174</v>
      </c>
      <c r="E38" s="62" t="s">
        <v>158</v>
      </c>
      <c r="F38" s="62" t="s">
        <v>295</v>
      </c>
      <c r="G38" s="62"/>
      <c r="H38" s="143" t="s">
        <v>360</v>
      </c>
      <c r="I38" s="54" t="s">
        <v>39</v>
      </c>
      <c r="J38" s="54"/>
      <c r="K38" s="54" t="s">
        <v>108</v>
      </c>
      <c r="L38" s="31" t="s">
        <v>42</v>
      </c>
      <c r="M38" s="31"/>
      <c r="N38" s="31"/>
      <c r="O38" s="55" t="s">
        <v>290</v>
      </c>
      <c r="P38" s="55"/>
      <c r="Q38" s="77"/>
      <c r="R38" s="77"/>
      <c r="S38" s="56">
        <v>1120</v>
      </c>
      <c r="T38" s="63">
        <v>44901</v>
      </c>
      <c r="U38" s="64">
        <v>24</v>
      </c>
      <c r="V38" s="63">
        <f t="shared" si="3"/>
        <v>45632</v>
      </c>
      <c r="W38" s="64">
        <f t="shared" ca="1" si="1"/>
        <v>-461</v>
      </c>
      <c r="X38" s="65"/>
      <c r="Y38" s="65"/>
      <c r="Z38" s="67" t="s">
        <v>48</v>
      </c>
      <c r="AA38" s="67" t="s">
        <v>48</v>
      </c>
      <c r="AB38" s="67"/>
      <c r="AC38" s="67"/>
      <c r="AD38" s="67" t="s">
        <v>48</v>
      </c>
      <c r="AE38" s="67"/>
      <c r="AF38" s="66" t="s">
        <v>48</v>
      </c>
      <c r="AG38" s="66" t="s">
        <v>48</v>
      </c>
      <c r="AH38" s="69"/>
      <c r="AI38" s="69"/>
      <c r="AJ38" s="69"/>
      <c r="AK38" s="69"/>
      <c r="AL38" s="69"/>
      <c r="AM38" s="69"/>
      <c r="AN38" s="69"/>
      <c r="AO38" s="69"/>
      <c r="AP38" s="66" t="s">
        <v>48</v>
      </c>
      <c r="AQ38" s="64" t="str">
        <f ca="1">IF(ALL_02FEB2024[[#This Row],[Days to Contract End]]&lt;=90,"R",IF(AND(ALL_02FEB2024[[#This Row],[Days to Contract End]]&lt;180),"A","G"))</f>
        <v>R</v>
      </c>
      <c r="AR38" s="70"/>
      <c r="AS38" s="51"/>
      <c r="AT38" s="52"/>
      <c r="AU38" s="52"/>
    </row>
    <row r="39" spans="2:47" ht="30">
      <c r="B39" s="147" t="s">
        <v>89</v>
      </c>
      <c r="C39" s="71">
        <f>IFERROR(VLOOKUP(B39,'QB Consolidated Contacts'!$A$1:$F$333,6),"-")</f>
        <v>0</v>
      </c>
      <c r="D39" s="208"/>
      <c r="E39" s="62" t="s">
        <v>43</v>
      </c>
      <c r="F39" s="62" t="s">
        <v>44</v>
      </c>
      <c r="G39" s="62"/>
      <c r="H39" s="143" t="s">
        <v>45</v>
      </c>
      <c r="I39" s="54" t="s">
        <v>39</v>
      </c>
      <c r="J39" s="54"/>
      <c r="K39" s="54" t="s">
        <v>315</v>
      </c>
      <c r="L39" s="31" t="s">
        <v>42</v>
      </c>
      <c r="M39" s="31"/>
      <c r="N39" s="31"/>
      <c r="O39" s="55"/>
      <c r="P39" s="55"/>
      <c r="Q39" s="77"/>
      <c r="R39" s="77"/>
      <c r="S39" s="56"/>
      <c r="T39" s="63">
        <v>44102</v>
      </c>
      <c r="U39" s="64" t="s">
        <v>46</v>
      </c>
      <c r="V39" s="63" t="str">
        <f t="shared" si="3"/>
        <v/>
      </c>
      <c r="W39" s="65" t="str">
        <f t="shared" ca="1" si="1"/>
        <v/>
      </c>
      <c r="X39" s="65" t="s">
        <v>39</v>
      </c>
      <c r="Y39" s="65"/>
      <c r="Z39" s="67"/>
      <c r="AA39" s="67" t="s">
        <v>82</v>
      </c>
      <c r="AB39" s="67"/>
      <c r="AC39" s="67"/>
      <c r="AD39" s="67"/>
      <c r="AE39" s="67"/>
      <c r="AF39" s="66"/>
      <c r="AG39" s="66"/>
      <c r="AH39" s="69"/>
      <c r="AI39" s="69"/>
      <c r="AJ39" s="69"/>
      <c r="AK39" s="69"/>
      <c r="AL39" s="69"/>
      <c r="AM39" s="69"/>
      <c r="AN39" s="69"/>
      <c r="AO39" s="69"/>
      <c r="AP39" s="66" t="s">
        <v>49</v>
      </c>
      <c r="AQ39" s="65" t="str">
        <f ca="1">IF(ALL_02FEB2024[[#This Row],[Days to Contract End]]&lt;=90,"R",IF(AND(ALL_02FEB2024[[#This Row],[Days to Contract End]]&lt;180),"A","G"))</f>
        <v>G</v>
      </c>
      <c r="AR39" s="70"/>
      <c r="AS39" s="51"/>
      <c r="AT39" s="52"/>
      <c r="AU39" s="52"/>
    </row>
    <row r="40" spans="2:47" ht="30">
      <c r="B40" s="147" t="s">
        <v>89</v>
      </c>
      <c r="C40" s="71">
        <f>IFERROR(VLOOKUP(B40,'QB Consolidated Contacts'!$A$1:$F$333,6),"-")</f>
        <v>0</v>
      </c>
      <c r="D40" s="208" t="s">
        <v>174</v>
      </c>
      <c r="E40" s="62" t="s">
        <v>158</v>
      </c>
      <c r="F40" s="62" t="s">
        <v>288</v>
      </c>
      <c r="G40" s="62"/>
      <c r="H40" s="142" t="s">
        <v>363</v>
      </c>
      <c r="I40" s="54" t="s">
        <v>39</v>
      </c>
      <c r="J40" s="54"/>
      <c r="K40" s="54" t="s">
        <v>315</v>
      </c>
      <c r="L40" s="31" t="s">
        <v>42</v>
      </c>
      <c r="M40" s="31"/>
      <c r="N40" s="31"/>
      <c r="O40" s="55"/>
      <c r="P40" s="55"/>
      <c r="Q40" s="77"/>
      <c r="R40" s="77"/>
      <c r="S40" s="56"/>
      <c r="T40" s="63">
        <v>44136</v>
      </c>
      <c r="U40" s="64" t="s">
        <v>46</v>
      </c>
      <c r="V40" s="63" t="str">
        <f t="shared" si="3"/>
        <v/>
      </c>
      <c r="W40" s="65" t="str">
        <f t="shared" ca="1" si="1"/>
        <v/>
      </c>
      <c r="X40" s="65"/>
      <c r="Y40" s="65"/>
      <c r="Z40" s="67"/>
      <c r="AA40" s="67"/>
      <c r="AB40" s="67"/>
      <c r="AC40" s="67"/>
      <c r="AD40" s="67"/>
      <c r="AE40" s="67"/>
      <c r="AF40" s="66"/>
      <c r="AG40" s="66"/>
      <c r="AH40" s="69"/>
      <c r="AI40" s="69"/>
      <c r="AJ40" s="69"/>
      <c r="AK40" s="69"/>
      <c r="AL40" s="69"/>
      <c r="AM40" s="69"/>
      <c r="AN40" s="69"/>
      <c r="AO40" s="69"/>
      <c r="AP40" s="66"/>
      <c r="AQ40" s="65" t="str">
        <f ca="1">IF(ALL_02FEB2024[[#This Row],[Days to Contract End]]&lt;=90,"R",IF(AND(ALL_02FEB2024[[#This Row],[Days to Contract End]]&lt;180),"A","G"))</f>
        <v>G</v>
      </c>
      <c r="AR40" s="70"/>
      <c r="AS40" s="51"/>
      <c r="AT40" s="52"/>
      <c r="AU40" s="52"/>
    </row>
    <row r="41" spans="2:47" ht="30">
      <c r="B41" s="147" t="s">
        <v>89</v>
      </c>
      <c r="C41" s="71">
        <f>IFERROR(VLOOKUP(B41,'QB Consolidated Contacts'!$A$1:$F$333,6),"-")</f>
        <v>0</v>
      </c>
      <c r="D41" s="208" t="s">
        <v>174</v>
      </c>
      <c r="E41" s="62" t="s">
        <v>158</v>
      </c>
      <c r="F41" s="62" t="s">
        <v>288</v>
      </c>
      <c r="G41" s="62"/>
      <c r="H41" s="142" t="s">
        <v>362</v>
      </c>
      <c r="I41" s="54" t="s">
        <v>39</v>
      </c>
      <c r="J41" s="54"/>
      <c r="K41" s="54" t="s">
        <v>317</v>
      </c>
      <c r="L41" s="31" t="s">
        <v>42</v>
      </c>
      <c r="M41" s="31"/>
      <c r="N41" s="31"/>
      <c r="O41" s="55"/>
      <c r="P41" s="55"/>
      <c r="Q41" s="77"/>
      <c r="R41" s="77"/>
      <c r="S41" s="56">
        <v>48</v>
      </c>
      <c r="T41" s="63">
        <v>44645</v>
      </c>
      <c r="U41" s="64">
        <v>12</v>
      </c>
      <c r="V41" s="63">
        <f t="shared" si="3"/>
        <v>45010</v>
      </c>
      <c r="W41" s="65">
        <f t="shared" ca="1" si="1"/>
        <v>-1083</v>
      </c>
      <c r="X41" s="65"/>
      <c r="Y41" s="65"/>
      <c r="Z41" s="67"/>
      <c r="AA41" s="67"/>
      <c r="AB41" s="67"/>
      <c r="AC41" s="67"/>
      <c r="AD41" s="67"/>
      <c r="AE41" s="67"/>
      <c r="AF41" s="66"/>
      <c r="AG41" s="66"/>
      <c r="AH41" s="69"/>
      <c r="AI41" s="69"/>
      <c r="AJ41" s="69"/>
      <c r="AK41" s="69"/>
      <c r="AL41" s="69"/>
      <c r="AM41" s="69"/>
      <c r="AN41" s="69"/>
      <c r="AO41" s="69"/>
      <c r="AP41" s="66"/>
      <c r="AQ41" s="65" t="str">
        <f ca="1">IF(ALL_02FEB2024[[#This Row],[Days to Contract End]]&lt;=90,"R",IF(AND(ALL_02FEB2024[[#This Row],[Days to Contract End]]&lt;180),"A","G"))</f>
        <v>R</v>
      </c>
      <c r="AR41" s="70"/>
      <c r="AS41" s="51"/>
      <c r="AT41" s="52"/>
      <c r="AU41" s="52"/>
    </row>
    <row r="42" spans="2:47">
      <c r="B42" s="147" t="s">
        <v>94</v>
      </c>
      <c r="C42" s="71">
        <f>IFERROR(VLOOKUP(B42,'QB Consolidated Contacts'!$A$1:$F$333,6),"-")</f>
        <v>0</v>
      </c>
      <c r="D42" s="208"/>
      <c r="E42" s="62" t="s">
        <v>43</v>
      </c>
      <c r="F42" s="62" t="s">
        <v>44</v>
      </c>
      <c r="G42" s="62"/>
      <c r="H42" s="142" t="s">
        <v>45</v>
      </c>
      <c r="I42" s="54" t="s">
        <v>39</v>
      </c>
      <c r="J42" s="54"/>
      <c r="K42" s="54" t="s">
        <v>315</v>
      </c>
      <c r="L42" s="31" t="s">
        <v>51</v>
      </c>
      <c r="M42" s="31"/>
      <c r="N42" s="31"/>
      <c r="O42" s="55"/>
      <c r="P42" s="55"/>
      <c r="Q42" s="77"/>
      <c r="R42" s="77"/>
      <c r="S42" s="56"/>
      <c r="T42" s="63">
        <v>44869</v>
      </c>
      <c r="U42" s="64">
        <v>24</v>
      </c>
      <c r="V42" s="63">
        <f t="shared" si="3"/>
        <v>45600</v>
      </c>
      <c r="W42" s="65">
        <f t="shared" ca="1" si="1"/>
        <v>-493</v>
      </c>
      <c r="X42" s="65"/>
      <c r="Y42" s="65"/>
      <c r="Z42" s="67"/>
      <c r="AA42" s="67"/>
      <c r="AB42" s="67"/>
      <c r="AC42" s="67"/>
      <c r="AD42" s="67"/>
      <c r="AE42" s="67"/>
      <c r="AF42" s="66"/>
      <c r="AG42" s="66"/>
      <c r="AH42" s="69"/>
      <c r="AI42" s="69"/>
      <c r="AJ42" s="69"/>
      <c r="AK42" s="69"/>
      <c r="AL42" s="69"/>
      <c r="AM42" s="69"/>
      <c r="AN42" s="69"/>
      <c r="AO42" s="69"/>
      <c r="AP42" s="66"/>
      <c r="AQ42" s="65" t="str">
        <f ca="1">IF(ALL_02FEB2024[[#This Row],[Days to Contract End]]&lt;=90,"R",IF(AND(ALL_02FEB2024[[#This Row],[Days to Contract End]]&lt;180),"A","G"))</f>
        <v>R</v>
      </c>
      <c r="AR42" s="70" t="s">
        <v>95</v>
      </c>
      <c r="AS42" s="51"/>
      <c r="AT42" s="52"/>
      <c r="AU42" s="52"/>
    </row>
    <row r="43" spans="2:47">
      <c r="B43" s="147" t="s">
        <v>94</v>
      </c>
      <c r="C43" s="71">
        <f>IFERROR(VLOOKUP(B43,'QB Consolidated Contacts'!$A$1:$F$333,6),"-")</f>
        <v>0</v>
      </c>
      <c r="D43" s="208"/>
      <c r="E43" s="62" t="s">
        <v>66</v>
      </c>
      <c r="F43" s="62" t="s">
        <v>44</v>
      </c>
      <c r="G43" s="62"/>
      <c r="H43" s="142" t="s">
        <v>78</v>
      </c>
      <c r="I43" s="54" t="s">
        <v>39</v>
      </c>
      <c r="J43" s="54"/>
      <c r="K43" s="54" t="s">
        <v>315</v>
      </c>
      <c r="L43" s="31" t="s">
        <v>51</v>
      </c>
      <c r="M43" s="31"/>
      <c r="N43" s="31"/>
      <c r="O43" s="55"/>
      <c r="P43" s="55"/>
      <c r="Q43" s="77"/>
      <c r="R43" s="77"/>
      <c r="S43" s="56"/>
      <c r="T43" s="63">
        <v>44778</v>
      </c>
      <c r="U43" s="64">
        <f>5*12</f>
        <v>60</v>
      </c>
      <c r="V43" s="63">
        <f t="shared" si="3"/>
        <v>46604</v>
      </c>
      <c r="W43" s="64">
        <f t="shared" ca="1" si="1"/>
        <v>511</v>
      </c>
      <c r="X43" s="65"/>
      <c r="Y43" s="65"/>
      <c r="Z43" s="67"/>
      <c r="AA43" s="67"/>
      <c r="AB43" s="67"/>
      <c r="AC43" s="67"/>
      <c r="AD43" s="67"/>
      <c r="AE43" s="67"/>
      <c r="AF43" s="66"/>
      <c r="AG43" s="66"/>
      <c r="AH43" s="69"/>
      <c r="AI43" s="69"/>
      <c r="AJ43" s="69"/>
      <c r="AK43" s="69"/>
      <c r="AL43" s="69"/>
      <c r="AM43" s="69"/>
      <c r="AN43" s="69"/>
      <c r="AO43" s="69"/>
      <c r="AP43" s="66"/>
      <c r="AQ43" s="64" t="str">
        <f ca="1">IF(ALL_02FEB2024[[#This Row],[Days to Contract End]]&lt;=90,"R",IF(AND(ALL_02FEB2024[[#This Row],[Days to Contract End]]&lt;180),"A","G"))</f>
        <v>G</v>
      </c>
      <c r="AR43" s="70"/>
      <c r="AS43" s="51"/>
      <c r="AT43" s="52"/>
      <c r="AU43" s="52"/>
    </row>
    <row r="44" spans="2:47" ht="30">
      <c r="B44" s="147" t="s">
        <v>94</v>
      </c>
      <c r="C44" s="71">
        <f>IFERROR(VLOOKUP(B44,'QB Consolidated Contacts'!$A$1:$F$333,6),"-")</f>
        <v>0</v>
      </c>
      <c r="D44" s="208" t="s">
        <v>132</v>
      </c>
      <c r="E44" s="62" t="s">
        <v>320</v>
      </c>
      <c r="F44" s="62" t="s">
        <v>288</v>
      </c>
      <c r="G44" s="62"/>
      <c r="H44" s="142" t="s">
        <v>369</v>
      </c>
      <c r="I44" s="54" t="s">
        <v>39</v>
      </c>
      <c r="J44" s="54"/>
      <c r="K44" s="54" t="s">
        <v>315</v>
      </c>
      <c r="L44" s="31" t="s">
        <v>51</v>
      </c>
      <c r="M44" s="31"/>
      <c r="N44" s="31"/>
      <c r="O44" s="55"/>
      <c r="P44" s="55"/>
      <c r="Q44" s="77"/>
      <c r="R44" s="77"/>
      <c r="S44" s="56"/>
      <c r="T44" s="63">
        <v>44848</v>
      </c>
      <c r="U44" s="64">
        <v>36</v>
      </c>
      <c r="V44" s="63">
        <f>IFERROR(EDATE(T44,U44),"")</f>
        <v>45944</v>
      </c>
      <c r="W44" s="64">
        <f ca="1">IFERROR(V44-TODAY(),"")</f>
        <v>-149</v>
      </c>
      <c r="X44" s="65"/>
      <c r="Y44" s="65"/>
      <c r="Z44" s="67"/>
      <c r="AA44" s="67"/>
      <c r="AB44" s="67"/>
      <c r="AC44" s="67"/>
      <c r="AD44" s="67"/>
      <c r="AE44" s="67"/>
      <c r="AF44" s="66"/>
      <c r="AG44" s="66"/>
      <c r="AH44" s="69"/>
      <c r="AI44" s="69"/>
      <c r="AJ44" s="69"/>
      <c r="AK44" s="69"/>
      <c r="AL44" s="69"/>
      <c r="AM44" s="69"/>
      <c r="AN44" s="69"/>
      <c r="AO44" s="69"/>
      <c r="AP44" s="66"/>
      <c r="AQ44" s="64" t="str">
        <f ca="1">IF(ALL_02FEB2024[[#This Row],[Days to Contract End]]&lt;=90,"R",IF(AND(ALL_02FEB2024[[#This Row],[Days to Contract End]]&lt;180),"A","G"))</f>
        <v>R</v>
      </c>
      <c r="AR44" s="70"/>
      <c r="AS44" s="51"/>
      <c r="AT44" s="52"/>
      <c r="AU44" s="52"/>
    </row>
    <row r="45" spans="2:47" ht="30">
      <c r="B45" s="147" t="s">
        <v>94</v>
      </c>
      <c r="C45" s="71">
        <f>IFERROR(VLOOKUP(B45,'QB Consolidated Contacts'!$A$1:$F$333,6),"-")</f>
        <v>0</v>
      </c>
      <c r="D45" s="208" t="s">
        <v>132</v>
      </c>
      <c r="E45" s="62" t="s">
        <v>158</v>
      </c>
      <c r="F45" s="62" t="s">
        <v>288</v>
      </c>
      <c r="G45" s="62" t="s">
        <v>634</v>
      </c>
      <c r="H45" s="143" t="s">
        <v>370</v>
      </c>
      <c r="I45" s="54" t="s">
        <v>39</v>
      </c>
      <c r="J45" s="54"/>
      <c r="K45" s="54" t="s">
        <v>315</v>
      </c>
      <c r="L45" s="31" t="s">
        <v>51</v>
      </c>
      <c r="M45" s="31" t="s">
        <v>39</v>
      </c>
      <c r="N45" s="99">
        <v>101102037</v>
      </c>
      <c r="O45" s="55" t="s">
        <v>290</v>
      </c>
      <c r="P45" s="55"/>
      <c r="Q45" s="77"/>
      <c r="R45" s="77"/>
      <c r="S45" s="56" t="s">
        <v>371</v>
      </c>
      <c r="T45" s="63">
        <v>44848</v>
      </c>
      <c r="U45" s="64">
        <v>36</v>
      </c>
      <c r="V45" s="63">
        <f t="shared" si="3"/>
        <v>45944</v>
      </c>
      <c r="W45" s="64">
        <f t="shared" ca="1" si="1"/>
        <v>-149</v>
      </c>
      <c r="X45" s="64"/>
      <c r="Y45" s="64"/>
      <c r="Z45" s="67"/>
      <c r="AA45" s="67"/>
      <c r="AB45" s="67"/>
      <c r="AC45" s="67"/>
      <c r="AD45" s="67"/>
      <c r="AE45" s="67"/>
      <c r="AF45" s="66"/>
      <c r="AG45" s="66"/>
      <c r="AH45" s="66"/>
      <c r="AI45" s="66"/>
      <c r="AJ45" s="66"/>
      <c r="AK45" s="66"/>
      <c r="AL45" s="66"/>
      <c r="AM45" s="66"/>
      <c r="AN45" s="66"/>
      <c r="AO45" s="66"/>
      <c r="AP45" s="66"/>
      <c r="AQ45" s="65" t="str">
        <f ca="1">IF(ALL_02FEB2024[[#This Row],[Days to Contract End]]&lt;=90,"R",IF(AND(ALL_02FEB2024[[#This Row],[Days to Contract End]]&lt;180),"A","G"))</f>
        <v>R</v>
      </c>
      <c r="AR45" s="70" t="s">
        <v>372</v>
      </c>
      <c r="AS45" s="51"/>
      <c r="AT45" s="52"/>
      <c r="AU45" s="52"/>
    </row>
    <row r="46" spans="2:47" ht="45">
      <c r="B46" s="147" t="s">
        <v>94</v>
      </c>
      <c r="C46" s="71">
        <f>IFERROR(VLOOKUP(B46,'QB Consolidated Contacts'!$A$1:$F$333,6),"-")</f>
        <v>0</v>
      </c>
      <c r="D46" s="208" t="s">
        <v>132</v>
      </c>
      <c r="E46" s="62" t="s">
        <v>320</v>
      </c>
      <c r="F46" s="62" t="s">
        <v>288</v>
      </c>
      <c r="G46" s="62"/>
      <c r="H46" s="144" t="s">
        <v>367</v>
      </c>
      <c r="I46" s="54" t="s">
        <v>39</v>
      </c>
      <c r="J46" s="54"/>
      <c r="K46" s="54" t="s">
        <v>315</v>
      </c>
      <c r="L46" s="31" t="s">
        <v>51</v>
      </c>
      <c r="M46" s="31"/>
      <c r="N46" s="31"/>
      <c r="O46" s="55"/>
      <c r="P46" s="55"/>
      <c r="Q46" s="77"/>
      <c r="R46" s="77"/>
      <c r="S46" s="56"/>
      <c r="T46" s="63">
        <v>45117</v>
      </c>
      <c r="U46" s="64"/>
      <c r="V46" s="63">
        <f>IFERROR(EDATE(T46,U46),"")</f>
        <v>45117</v>
      </c>
      <c r="W46" s="64">
        <f ca="1">IFERROR(V46-TODAY(),"")</f>
        <v>-976</v>
      </c>
      <c r="X46" s="65"/>
      <c r="Y46" s="65"/>
      <c r="Z46" s="67"/>
      <c r="AA46" s="67"/>
      <c r="AB46" s="67"/>
      <c r="AC46" s="67"/>
      <c r="AD46" s="67"/>
      <c r="AE46" s="67"/>
      <c r="AF46" s="66"/>
      <c r="AG46" s="66"/>
      <c r="AH46" s="69"/>
      <c r="AI46" s="69"/>
      <c r="AJ46" s="69"/>
      <c r="AK46" s="69"/>
      <c r="AL46" s="69"/>
      <c r="AM46" s="69"/>
      <c r="AN46" s="69"/>
      <c r="AO46" s="69"/>
      <c r="AP46" s="66"/>
      <c r="AQ46" s="64" t="str">
        <f ca="1">IF(ALL_02FEB2024[[#This Row],[Days to Contract End]]&lt;=90,"R",IF(AND(ALL_02FEB2024[[#This Row],[Days to Contract End]]&lt;180),"A","G"))</f>
        <v>R</v>
      </c>
      <c r="AR46" s="70" t="s">
        <v>368</v>
      </c>
      <c r="AS46" s="51"/>
      <c r="AT46" s="52"/>
      <c r="AU46" s="52"/>
    </row>
    <row r="47" spans="2:47">
      <c r="B47" s="147" t="s">
        <v>96</v>
      </c>
      <c r="C47" s="71">
        <f>IFERROR(VLOOKUP(B47,'QB Consolidated Contacts'!$A$1:$F$333,6),"-")</f>
        <v>0</v>
      </c>
      <c r="D47" s="208"/>
      <c r="E47" s="62" t="s">
        <v>43</v>
      </c>
      <c r="F47" s="62" t="s">
        <v>44</v>
      </c>
      <c r="G47" s="62"/>
      <c r="H47" s="143" t="s">
        <v>45</v>
      </c>
      <c r="I47" s="54" t="s">
        <v>39</v>
      </c>
      <c r="J47" s="54"/>
      <c r="K47" s="54" t="s">
        <v>315</v>
      </c>
      <c r="L47" s="31" t="s">
        <v>42</v>
      </c>
      <c r="M47" s="31"/>
      <c r="N47" s="31"/>
      <c r="O47" s="55"/>
      <c r="P47" s="55"/>
      <c r="Q47" s="77"/>
      <c r="R47" s="77"/>
      <c r="S47" s="56"/>
      <c r="T47" s="63">
        <v>43089</v>
      </c>
      <c r="U47" s="64" t="s">
        <v>46</v>
      </c>
      <c r="V47" s="63" t="str">
        <f t="shared" si="3"/>
        <v/>
      </c>
      <c r="W47" s="64" t="str">
        <f t="shared" ca="1" si="1"/>
        <v/>
      </c>
      <c r="X47" s="65" t="s">
        <v>39</v>
      </c>
      <c r="Y47" s="65"/>
      <c r="Z47" s="67" t="s">
        <v>47</v>
      </c>
      <c r="AA47" s="67" t="s">
        <v>47</v>
      </c>
      <c r="AB47" s="67"/>
      <c r="AC47" s="67"/>
      <c r="AD47" s="67" t="s">
        <v>48</v>
      </c>
      <c r="AE47" s="67"/>
      <c r="AF47" s="66" t="s">
        <v>48</v>
      </c>
      <c r="AG47" s="66" t="s">
        <v>48</v>
      </c>
      <c r="AH47" s="69"/>
      <c r="AI47" s="69"/>
      <c r="AJ47" s="69"/>
      <c r="AK47" s="69"/>
      <c r="AL47" s="69"/>
      <c r="AM47" s="69"/>
      <c r="AN47" s="69"/>
      <c r="AO47" s="69"/>
      <c r="AP47" s="66" t="s">
        <v>49</v>
      </c>
      <c r="AQ47" s="65" t="str">
        <f ca="1">IF(ALL_02FEB2024[[#This Row],[Days to Contract End]]&lt;=90,"R",IF(AND(ALL_02FEB2024[[#This Row],[Days to Contract End]]&lt;180),"A","G"))</f>
        <v>G</v>
      </c>
      <c r="AR47" s="70"/>
      <c r="AS47" s="51"/>
      <c r="AT47" s="52"/>
      <c r="AU47" s="52"/>
    </row>
    <row r="48" spans="2:47" ht="30">
      <c r="B48" s="147" t="s">
        <v>96</v>
      </c>
      <c r="C48" s="71">
        <f>IFERROR(VLOOKUP(B48,'QB Consolidated Contacts'!$A$1:$F$333,6),"-")</f>
        <v>0</v>
      </c>
      <c r="D48" s="208" t="s">
        <v>132</v>
      </c>
      <c r="E48" s="62" t="s">
        <v>158</v>
      </c>
      <c r="F48" s="62" t="s">
        <v>288</v>
      </c>
      <c r="G48" s="221"/>
      <c r="H48" t="s">
        <v>373</v>
      </c>
      <c r="I48" s="54" t="s">
        <v>39</v>
      </c>
      <c r="J48" s="54" t="s">
        <v>39</v>
      </c>
      <c r="K48" s="54" t="s">
        <v>317</v>
      </c>
      <c r="L48" s="31" t="s">
        <v>42</v>
      </c>
      <c r="M48" s="31"/>
      <c r="N48" s="31" t="s">
        <v>40</v>
      </c>
      <c r="O48" s="55" t="s">
        <v>290</v>
      </c>
      <c r="P48" s="55"/>
      <c r="Q48" s="77">
        <v>3825</v>
      </c>
      <c r="R48" s="77">
        <f>ALL_02FEB2024[[#This Row],[Monthly Budget]]*12</f>
        <v>45900</v>
      </c>
      <c r="S48" s="56">
        <v>30</v>
      </c>
      <c r="T48" s="63">
        <v>45200</v>
      </c>
      <c r="U48" s="64">
        <v>36</v>
      </c>
      <c r="V48" s="63">
        <f t="shared" si="3"/>
        <v>46296</v>
      </c>
      <c r="W48" s="65">
        <v>1440</v>
      </c>
      <c r="X48" s="65" t="s">
        <v>40</v>
      </c>
      <c r="Y48" s="65"/>
      <c r="Z48" s="67" t="s">
        <v>48</v>
      </c>
      <c r="AA48" s="67" t="s">
        <v>48</v>
      </c>
      <c r="AB48" s="67"/>
      <c r="AC48" s="67"/>
      <c r="AD48" s="67" t="s">
        <v>48</v>
      </c>
      <c r="AE48" s="67"/>
      <c r="AF48" s="66" t="s">
        <v>48</v>
      </c>
      <c r="AG48" s="66" t="s">
        <v>48</v>
      </c>
      <c r="AH48" s="69"/>
      <c r="AI48" s="69"/>
      <c r="AJ48" s="69"/>
      <c r="AK48" s="69"/>
      <c r="AL48" s="69"/>
      <c r="AM48" s="69"/>
      <c r="AN48" s="69"/>
      <c r="AO48" s="69"/>
      <c r="AP48" s="66" t="s">
        <v>48</v>
      </c>
      <c r="AQ48" s="65" t="str">
        <f>IF(ALL_02FEB2024[[#This Row],[Days to Contract End]]&lt;=90,"R",IF(AND(ALL_02FEB2024[[#This Row],[Days to Contract End]]&lt;180),"A","G"))</f>
        <v>G</v>
      </c>
      <c r="AR48" s="70" t="s">
        <v>375</v>
      </c>
      <c r="AS48" s="51"/>
      <c r="AT48" s="52"/>
      <c r="AU48" s="52"/>
    </row>
    <row r="49" spans="2:47" ht="30">
      <c r="B49" s="147" t="s">
        <v>96</v>
      </c>
      <c r="C49" s="71">
        <f>IFERROR(VLOOKUP(B49,'QB Consolidated Contacts'!$A$1:$F$333,6),"-")</f>
        <v>0</v>
      </c>
      <c r="D49" s="208" t="s">
        <v>132</v>
      </c>
      <c r="E49" s="62" t="s">
        <v>158</v>
      </c>
      <c r="F49" s="62" t="s">
        <v>288</v>
      </c>
      <c r="G49" s="62"/>
      <c r="H49" s="143" t="s">
        <v>376</v>
      </c>
      <c r="I49" s="54" t="s">
        <v>39</v>
      </c>
      <c r="J49" s="54"/>
      <c r="K49" s="54" t="s">
        <v>317</v>
      </c>
      <c r="L49" s="31" t="s">
        <v>42</v>
      </c>
      <c r="M49" s="31"/>
      <c r="N49" s="31" t="s">
        <v>40</v>
      </c>
      <c r="O49" s="55" t="s">
        <v>290</v>
      </c>
      <c r="P49" s="55"/>
      <c r="Q49" s="77"/>
      <c r="R49" s="77"/>
      <c r="S49" s="56"/>
      <c r="T49" s="63">
        <v>43709</v>
      </c>
      <c r="U49" s="64">
        <v>24</v>
      </c>
      <c r="V49" s="63">
        <f t="shared" si="3"/>
        <v>44440</v>
      </c>
      <c r="W49" s="65">
        <f t="shared" ref="W49:W94" ca="1" si="4">IFERROR(V49-TODAY(),"")</f>
        <v>-1653</v>
      </c>
      <c r="X49" s="65" t="s">
        <v>40</v>
      </c>
      <c r="Y49" s="65"/>
      <c r="Z49" s="67" t="s">
        <v>48</v>
      </c>
      <c r="AA49" s="67" t="s">
        <v>48</v>
      </c>
      <c r="AB49" s="67"/>
      <c r="AC49" s="67"/>
      <c r="AD49" s="67" t="s">
        <v>48</v>
      </c>
      <c r="AE49" s="67"/>
      <c r="AF49" s="66" t="s">
        <v>48</v>
      </c>
      <c r="AG49" s="66" t="s">
        <v>48</v>
      </c>
      <c r="AH49" s="69"/>
      <c r="AI49" s="69"/>
      <c r="AJ49" s="69"/>
      <c r="AK49" s="69"/>
      <c r="AL49" s="69"/>
      <c r="AM49" s="69"/>
      <c r="AN49" s="69"/>
      <c r="AO49" s="69"/>
      <c r="AP49" s="66" t="s">
        <v>48</v>
      </c>
      <c r="AQ49" s="65" t="str">
        <f ca="1">IF(ALL_02FEB2024[[#This Row],[Days to Contract End]]&lt;=90,"R",IF(AND(ALL_02FEB2024[[#This Row],[Days to Contract End]]&lt;180),"A","G"))</f>
        <v>R</v>
      </c>
      <c r="AR49" s="70"/>
      <c r="AS49" s="51"/>
      <c r="AT49" s="52"/>
      <c r="AU49" s="52"/>
    </row>
    <row r="50" spans="2:47" ht="60">
      <c r="B50" s="147" t="s">
        <v>97</v>
      </c>
      <c r="C50" s="71">
        <f>IFERROR(VLOOKUP(B50,'QB Consolidated Contacts'!$A$1:$F$333,6),"-")</f>
        <v>0</v>
      </c>
      <c r="D50" s="208"/>
      <c r="E50" s="62" t="s">
        <v>43</v>
      </c>
      <c r="F50" s="62" t="s">
        <v>44</v>
      </c>
      <c r="G50" s="62"/>
      <c r="H50" s="142" t="s">
        <v>98</v>
      </c>
      <c r="I50" s="54"/>
      <c r="J50" s="54"/>
      <c r="K50" s="54"/>
      <c r="L50" s="31"/>
      <c r="M50" s="31"/>
      <c r="N50" s="31"/>
      <c r="O50" s="55"/>
      <c r="P50" s="55"/>
      <c r="Q50" s="77"/>
      <c r="R50" s="77"/>
      <c r="S50" s="56"/>
      <c r="T50" s="63"/>
      <c r="U50" s="64"/>
      <c r="V50" s="63">
        <f t="shared" ref="V50:V55" si="5">IFERROR(EDATE(T50,U50),"")</f>
        <v>0</v>
      </c>
      <c r="W50" s="65">
        <f t="shared" ref="W50:W55" ca="1" si="6">IFERROR(V50-TODAY(),"")</f>
        <v>-46093</v>
      </c>
      <c r="X50" s="65"/>
      <c r="Y50" s="65"/>
      <c r="Z50" s="67"/>
      <c r="AA50" s="67"/>
      <c r="AB50" s="67"/>
      <c r="AC50" s="67"/>
      <c r="AD50" s="67"/>
      <c r="AE50" s="67"/>
      <c r="AF50" s="66"/>
      <c r="AG50" s="66"/>
      <c r="AH50" s="69"/>
      <c r="AI50" s="69"/>
      <c r="AJ50" s="69"/>
      <c r="AK50" s="69"/>
      <c r="AL50" s="69"/>
      <c r="AM50" s="69"/>
      <c r="AN50" s="69"/>
      <c r="AO50" s="69"/>
      <c r="AP50" s="66"/>
      <c r="AQ50" s="65" t="str">
        <f ca="1">IF(ALL_02FEB2024[[#This Row],[Days to Contract End]]&lt;=90,"R",IF(AND(ALL_02FEB2024[[#This Row],[Days to Contract End]]&lt;180),"A","G"))</f>
        <v>R</v>
      </c>
      <c r="AR50" s="70"/>
      <c r="AS50" s="51"/>
      <c r="AT50" s="52"/>
      <c r="AU50" s="52"/>
    </row>
    <row r="51" spans="2:47">
      <c r="B51" s="147" t="s">
        <v>63</v>
      </c>
      <c r="C51" s="71" t="str">
        <f>IFERROR(VLOOKUP(B51,'QB Consolidated Contacts'!$A$1:$F$333,6),"-")</f>
        <v>Roger Santone</v>
      </c>
      <c r="D51" s="208" t="s">
        <v>174</v>
      </c>
      <c r="E51" s="62" t="s">
        <v>158</v>
      </c>
      <c r="F51" s="62" t="s">
        <v>44</v>
      </c>
      <c r="G51" s="62" t="s">
        <v>632</v>
      </c>
      <c r="H51" s="142" t="s">
        <v>336</v>
      </c>
      <c r="I51" s="54" t="s">
        <v>39</v>
      </c>
      <c r="J51" s="54" t="s">
        <v>39</v>
      </c>
      <c r="K51" s="54" t="s">
        <v>315</v>
      </c>
      <c r="L51" s="31" t="s">
        <v>42</v>
      </c>
      <c r="M51" s="31"/>
      <c r="N51" s="31"/>
      <c r="O51" s="55"/>
      <c r="P51" s="55"/>
      <c r="Q51" s="77"/>
      <c r="R51" s="77"/>
      <c r="S51" s="56"/>
      <c r="T51" s="63">
        <v>45152</v>
      </c>
      <c r="U51" s="64" t="s">
        <v>220</v>
      </c>
      <c r="V51" s="63">
        <v>45657</v>
      </c>
      <c r="W51" s="64">
        <f t="shared" ca="1" si="6"/>
        <v>-436</v>
      </c>
      <c r="X51" s="65"/>
      <c r="Y51" s="65"/>
      <c r="Z51" s="67"/>
      <c r="AA51" s="67"/>
      <c r="AB51" s="67"/>
      <c r="AC51" s="67"/>
      <c r="AD51" s="67"/>
      <c r="AE51" s="67"/>
      <c r="AF51" s="66"/>
      <c r="AG51" s="66"/>
      <c r="AH51" s="69"/>
      <c r="AI51" s="69"/>
      <c r="AJ51" s="69"/>
      <c r="AK51" s="69"/>
      <c r="AL51" s="69"/>
      <c r="AM51" s="69"/>
      <c r="AN51" s="69"/>
      <c r="AO51" s="69"/>
      <c r="AP51" s="66"/>
      <c r="AQ51" s="64" t="str">
        <f ca="1">IF(ALL_02FEB2024[[#This Row],[Days to Contract End]]&lt;=90,"R",IF(AND(ALL_02FEB2024[[#This Row],[Days to Contract End]]&lt;180),"A","G"))</f>
        <v>R</v>
      </c>
      <c r="AR51" s="70"/>
      <c r="AS51" s="51"/>
      <c r="AT51" s="52"/>
      <c r="AU51" s="52"/>
    </row>
    <row r="52" spans="2:47" ht="30">
      <c r="B52" s="147" t="s">
        <v>63</v>
      </c>
      <c r="C52" s="71" t="str">
        <f>IFERROR(VLOOKUP(B52,'QB Consolidated Contacts'!$A$1:$F$333,6),"-")</f>
        <v>Roger Santone</v>
      </c>
      <c r="D52" s="208" t="s">
        <v>174</v>
      </c>
      <c r="E52" s="62" t="s">
        <v>158</v>
      </c>
      <c r="F52" s="62" t="s">
        <v>44</v>
      </c>
      <c r="G52" s="62" t="s">
        <v>632</v>
      </c>
      <c r="H52" s="142" t="s">
        <v>337</v>
      </c>
      <c r="I52" s="54" t="s">
        <v>39</v>
      </c>
      <c r="J52" s="54" t="s">
        <v>39</v>
      </c>
      <c r="K52" s="54" t="s">
        <v>315</v>
      </c>
      <c r="L52" s="31" t="s">
        <v>42</v>
      </c>
      <c r="M52" s="31"/>
      <c r="N52" s="31"/>
      <c r="O52" s="55"/>
      <c r="P52" s="55"/>
      <c r="Q52" s="77"/>
      <c r="R52" s="77"/>
      <c r="S52" s="56"/>
      <c r="T52" s="63">
        <v>45511</v>
      </c>
      <c r="U52" s="64" t="s">
        <v>220</v>
      </c>
      <c r="V52" s="63">
        <v>45657</v>
      </c>
      <c r="W52" s="64">
        <f t="shared" ca="1" si="6"/>
        <v>-436</v>
      </c>
      <c r="X52" s="65"/>
      <c r="Y52" s="65"/>
      <c r="Z52" s="67"/>
      <c r="AA52" s="67"/>
      <c r="AB52" s="67"/>
      <c r="AC52" s="67"/>
      <c r="AD52" s="67"/>
      <c r="AE52" s="67"/>
      <c r="AF52" s="66"/>
      <c r="AG52" s="66"/>
      <c r="AH52" s="69"/>
      <c r="AI52" s="69"/>
      <c r="AJ52" s="69"/>
      <c r="AK52" s="69"/>
      <c r="AL52" s="69"/>
      <c r="AM52" s="69"/>
      <c r="AN52" s="69"/>
      <c r="AO52" s="69"/>
      <c r="AP52" s="66"/>
      <c r="AQ52" s="64" t="str">
        <f ca="1">IF(ALL_02FEB2024[[#This Row],[Days to Contract End]]&lt;=90,"R",IF(AND(ALL_02FEB2024[[#This Row],[Days to Contract End]]&lt;180),"A","G"))</f>
        <v>R</v>
      </c>
      <c r="AR52" s="70"/>
      <c r="AS52" s="51"/>
      <c r="AT52" s="52"/>
      <c r="AU52" s="52"/>
    </row>
    <row r="53" spans="2:47" ht="45">
      <c r="B53" s="147" t="s">
        <v>63</v>
      </c>
      <c r="C53" s="71" t="str">
        <f>IFERROR(VLOOKUP(B53,'QB Consolidated Contacts'!$A$1:$F$333,6),"-")</f>
        <v>Roger Santone</v>
      </c>
      <c r="D53" s="208"/>
      <c r="E53" s="62" t="s">
        <v>158</v>
      </c>
      <c r="F53" s="62" t="s">
        <v>175</v>
      </c>
      <c r="G53" s="62" t="s">
        <v>631</v>
      </c>
      <c r="H53" s="144" t="s">
        <v>340</v>
      </c>
      <c r="I53" s="54" t="s">
        <v>39</v>
      </c>
      <c r="J53" s="54" t="s">
        <v>39</v>
      </c>
      <c r="K53" s="54" t="s">
        <v>315</v>
      </c>
      <c r="L53" s="31"/>
      <c r="M53" s="31"/>
      <c r="N53" s="31"/>
      <c r="O53" s="55"/>
      <c r="P53" s="55"/>
      <c r="Q53" s="77"/>
      <c r="R53" s="77"/>
      <c r="S53" s="56"/>
      <c r="T53" s="63">
        <v>45160</v>
      </c>
      <c r="U53" s="64"/>
      <c r="V53" s="63">
        <f t="shared" si="5"/>
        <v>45160</v>
      </c>
      <c r="W53" s="64">
        <f t="shared" ca="1" si="6"/>
        <v>-933</v>
      </c>
      <c r="X53" s="65"/>
      <c r="Y53" s="65"/>
      <c r="Z53" s="67"/>
      <c r="AA53" s="67"/>
      <c r="AB53" s="67"/>
      <c r="AC53" s="67"/>
      <c r="AD53" s="67"/>
      <c r="AE53" s="67"/>
      <c r="AF53" s="66"/>
      <c r="AG53" s="66"/>
      <c r="AH53" s="69"/>
      <c r="AI53" s="69"/>
      <c r="AJ53" s="69"/>
      <c r="AK53" s="69"/>
      <c r="AL53" s="69"/>
      <c r="AM53" s="69"/>
      <c r="AN53" s="69"/>
      <c r="AO53" s="69"/>
      <c r="AP53" s="66"/>
      <c r="AQ53" s="64" t="str">
        <f ca="1">IF(ALL_02FEB2024[[#This Row],[Days to Contract End]]&lt;=90,"R",IF(AND(ALL_02FEB2024[[#This Row],[Days to Contract End]]&lt;180),"A","G"))</f>
        <v>R</v>
      </c>
      <c r="AR53" s="70"/>
      <c r="AS53" s="51"/>
      <c r="AT53" s="52"/>
      <c r="AU53" s="52"/>
    </row>
    <row r="54" spans="2:47" ht="30">
      <c r="B54" s="147" t="s">
        <v>96</v>
      </c>
      <c r="C54" s="71">
        <f>IFERROR(VLOOKUP(B54,'QB Consolidated Contacts'!$A$1:$F$333,6),"-")</f>
        <v>0</v>
      </c>
      <c r="D54" s="208"/>
      <c r="E54" s="62" t="s">
        <v>158</v>
      </c>
      <c r="F54" s="62" t="s">
        <v>288</v>
      </c>
      <c r="G54" s="62"/>
      <c r="H54" s="144" t="s">
        <v>635</v>
      </c>
      <c r="I54" s="54"/>
      <c r="J54" s="54"/>
      <c r="K54" s="54"/>
      <c r="L54" s="31"/>
      <c r="M54" s="31"/>
      <c r="N54" s="31"/>
      <c r="O54" s="55"/>
      <c r="P54" s="55"/>
      <c r="Q54" s="77"/>
      <c r="R54" s="77"/>
      <c r="S54" s="56"/>
      <c r="T54" s="63"/>
      <c r="U54" s="64"/>
      <c r="V54" s="63">
        <f t="shared" si="5"/>
        <v>0</v>
      </c>
      <c r="W54" s="64">
        <f t="shared" ca="1" si="6"/>
        <v>-46093</v>
      </c>
      <c r="X54" s="65"/>
      <c r="Y54" s="65"/>
      <c r="Z54" s="67"/>
      <c r="AA54" s="67"/>
      <c r="AB54" s="67"/>
      <c r="AC54" s="67"/>
      <c r="AD54" s="67"/>
      <c r="AE54" s="67"/>
      <c r="AF54" s="66"/>
      <c r="AG54" s="66"/>
      <c r="AH54" s="69"/>
      <c r="AI54" s="69"/>
      <c r="AJ54" s="69"/>
      <c r="AK54" s="69"/>
      <c r="AL54" s="69"/>
      <c r="AM54" s="69"/>
      <c r="AN54" s="69"/>
      <c r="AO54" s="69"/>
      <c r="AP54" s="66"/>
      <c r="AQ54" s="64" t="str">
        <f ca="1">IF(ALL_02FEB2024[[#This Row],[Days to Contract End]]&lt;=90,"R",IF(AND(ALL_02FEB2024[[#This Row],[Days to Contract End]]&lt;180),"A","G"))</f>
        <v>R</v>
      </c>
      <c r="AR54" s="70"/>
      <c r="AS54" s="51"/>
      <c r="AT54" s="52"/>
      <c r="AU54" s="52"/>
    </row>
    <row r="55" spans="2:47" ht="30">
      <c r="B55" s="147" t="s">
        <v>96</v>
      </c>
      <c r="C55" s="71">
        <f>IFERROR(VLOOKUP(B55,'QB Consolidated Contacts'!$A$1:$F$333,6),"-")</f>
        <v>0</v>
      </c>
      <c r="D55" s="208"/>
      <c r="E55" s="62" t="s">
        <v>158</v>
      </c>
      <c r="F55" s="62" t="s">
        <v>288</v>
      </c>
      <c r="G55" s="62"/>
      <c r="H55" s="144" t="s">
        <v>565</v>
      </c>
      <c r="I55" s="54"/>
      <c r="J55" s="54"/>
      <c r="K55" s="54"/>
      <c r="L55" s="31"/>
      <c r="M55" s="31"/>
      <c r="N55" s="31"/>
      <c r="O55" s="55"/>
      <c r="P55" s="55"/>
      <c r="Q55" s="77"/>
      <c r="R55" s="77"/>
      <c r="S55" s="56"/>
      <c r="T55" s="63"/>
      <c r="U55" s="64"/>
      <c r="V55" s="63">
        <f t="shared" si="5"/>
        <v>0</v>
      </c>
      <c r="W55" s="64">
        <f t="shared" ca="1" si="6"/>
        <v>-46093</v>
      </c>
      <c r="X55" s="65"/>
      <c r="Y55" s="65"/>
      <c r="Z55" s="67"/>
      <c r="AA55" s="67"/>
      <c r="AB55" s="67"/>
      <c r="AC55" s="67"/>
      <c r="AD55" s="67"/>
      <c r="AE55" s="67"/>
      <c r="AF55" s="66"/>
      <c r="AG55" s="66"/>
      <c r="AH55" s="69"/>
      <c r="AI55" s="69"/>
      <c r="AJ55" s="69"/>
      <c r="AK55" s="69"/>
      <c r="AL55" s="69"/>
      <c r="AM55" s="69"/>
      <c r="AN55" s="69"/>
      <c r="AO55" s="69"/>
      <c r="AP55" s="66"/>
      <c r="AQ55" s="64" t="str">
        <f ca="1">IF(ALL_02FEB2024[[#This Row],[Days to Contract End]]&lt;=90,"R",IF(AND(ALL_02FEB2024[[#This Row],[Days to Contract End]]&lt;180),"A","G"))</f>
        <v>R</v>
      </c>
      <c r="AR55" s="70"/>
      <c r="AS55" s="51"/>
      <c r="AT55" s="52"/>
      <c r="AU55" s="52"/>
    </row>
    <row r="56" spans="2:47" ht="60">
      <c r="B56" s="147" t="s">
        <v>97</v>
      </c>
      <c r="C56" s="71">
        <f>IFERROR(VLOOKUP(B56,'QB Consolidated Contacts'!$A$1:$F$333,6),"-")</f>
        <v>0</v>
      </c>
      <c r="D56" s="208" t="s">
        <v>132</v>
      </c>
      <c r="E56" s="62" t="s">
        <v>158</v>
      </c>
      <c r="F56" s="62" t="s">
        <v>175</v>
      </c>
      <c r="G56" s="62" t="s">
        <v>634</v>
      </c>
      <c r="H56" s="142" t="s">
        <v>377</v>
      </c>
      <c r="I56" s="54" t="s">
        <v>40</v>
      </c>
      <c r="J56" s="54"/>
      <c r="K56" s="54" t="s">
        <v>315</v>
      </c>
      <c r="L56" s="31" t="s">
        <v>42</v>
      </c>
      <c r="M56" s="31"/>
      <c r="N56" s="31">
        <v>100550</v>
      </c>
      <c r="O56" s="55"/>
      <c r="P56" s="55"/>
      <c r="Q56" s="77"/>
      <c r="R56" s="77"/>
      <c r="S56" s="56"/>
      <c r="T56" s="63">
        <v>45110</v>
      </c>
      <c r="U56" s="64">
        <v>7.5</v>
      </c>
      <c r="V56" s="63">
        <v>45350</v>
      </c>
      <c r="W56" s="65">
        <f t="shared" ca="1" si="4"/>
        <v>-743</v>
      </c>
      <c r="X56" s="65"/>
      <c r="Y56" s="65"/>
      <c r="Z56" s="67"/>
      <c r="AA56" s="67"/>
      <c r="AB56" s="67"/>
      <c r="AC56" s="67"/>
      <c r="AD56" s="67"/>
      <c r="AE56" s="67"/>
      <c r="AF56" s="66"/>
      <c r="AG56" s="66"/>
      <c r="AH56" s="69"/>
      <c r="AI56" s="69"/>
      <c r="AJ56" s="69"/>
      <c r="AK56" s="69"/>
      <c r="AL56" s="69"/>
      <c r="AM56" s="69"/>
      <c r="AN56" s="69"/>
      <c r="AO56" s="69"/>
      <c r="AP56" s="66"/>
      <c r="AQ56" s="65" t="str">
        <f ca="1">IF(ALL_02FEB2024[[#This Row],[Days to Contract End]]&lt;=90,"R",IF(AND(ALL_02FEB2024[[#This Row],[Days to Contract End]]&lt;180),"A","G"))</f>
        <v>R</v>
      </c>
      <c r="AR56" s="70"/>
      <c r="AS56" s="51"/>
      <c r="AT56" s="52"/>
      <c r="AU56" s="52"/>
    </row>
    <row r="57" spans="2:47" ht="45">
      <c r="B57" s="147" t="s">
        <v>99</v>
      </c>
      <c r="C57" s="71">
        <f>IFERROR(VLOOKUP(B57,'QB Consolidated Contacts'!$A$1:$F$333,6),"-")</f>
        <v>0</v>
      </c>
      <c r="D57" s="208"/>
      <c r="E57" s="62" t="s">
        <v>43</v>
      </c>
      <c r="F57" s="62" t="s">
        <v>44</v>
      </c>
      <c r="G57" s="62"/>
      <c r="H57" s="143" t="s">
        <v>45</v>
      </c>
      <c r="I57" s="54" t="s">
        <v>39</v>
      </c>
      <c r="J57" s="54"/>
      <c r="K57" s="54" t="s">
        <v>315</v>
      </c>
      <c r="L57" s="31" t="s">
        <v>42</v>
      </c>
      <c r="M57" s="31"/>
      <c r="N57" s="31"/>
      <c r="O57" s="55"/>
      <c r="P57" s="55"/>
      <c r="Q57" s="77"/>
      <c r="R57" s="77"/>
      <c r="S57" s="56"/>
      <c r="T57" s="63">
        <v>44258</v>
      </c>
      <c r="U57" s="64" t="s">
        <v>46</v>
      </c>
      <c r="V57" s="63" t="str">
        <f t="shared" si="3"/>
        <v/>
      </c>
      <c r="W57" s="65" t="str">
        <f t="shared" ca="1" si="4"/>
        <v/>
      </c>
      <c r="X57" s="65" t="s">
        <v>39</v>
      </c>
      <c r="Y57" s="65"/>
      <c r="Z57" s="67" t="s">
        <v>60</v>
      </c>
      <c r="AA57" s="67" t="s">
        <v>47</v>
      </c>
      <c r="AB57" s="67" t="s">
        <v>47</v>
      </c>
      <c r="AC57" s="67"/>
      <c r="AD57" s="67" t="s">
        <v>61</v>
      </c>
      <c r="AE57" s="67" t="s">
        <v>47</v>
      </c>
      <c r="AF57" s="66"/>
      <c r="AG57" s="66"/>
      <c r="AH57" s="69" t="s">
        <v>61</v>
      </c>
      <c r="AI57" s="69" t="s">
        <v>47</v>
      </c>
      <c r="AJ57" s="69" t="s">
        <v>47</v>
      </c>
      <c r="AK57" s="69"/>
      <c r="AL57" s="69"/>
      <c r="AM57" s="69"/>
      <c r="AN57" s="69"/>
      <c r="AO57" s="69"/>
      <c r="AP57" s="66" t="s">
        <v>47</v>
      </c>
      <c r="AQ57" s="65" t="str">
        <f ca="1">IF(ALL_02FEB2024[[#This Row],[Days to Contract End]]&lt;=90,"R",IF(AND(ALL_02FEB2024[[#This Row],[Days to Contract End]]&lt;180),"A","G"))</f>
        <v>G</v>
      </c>
      <c r="AR57" s="70"/>
      <c r="AS57" s="51"/>
      <c r="AT57" s="52"/>
      <c r="AU57" s="52"/>
    </row>
    <row r="58" spans="2:47" ht="45">
      <c r="B58" s="147" t="s">
        <v>99</v>
      </c>
      <c r="C58" s="71">
        <f>IFERROR(VLOOKUP(B58,'QB Consolidated Contacts'!$A$1:$F$333,6),"-")</f>
        <v>0</v>
      </c>
      <c r="D58" s="208"/>
      <c r="E58" s="62" t="s">
        <v>66</v>
      </c>
      <c r="F58" s="62" t="s">
        <v>44</v>
      </c>
      <c r="G58" s="62"/>
      <c r="H58" s="143" t="s">
        <v>78</v>
      </c>
      <c r="I58" s="54" t="s">
        <v>39</v>
      </c>
      <c r="J58" s="54"/>
      <c r="K58" s="54" t="s">
        <v>315</v>
      </c>
      <c r="L58" s="31" t="s">
        <v>42</v>
      </c>
      <c r="M58" s="31"/>
      <c r="N58" s="31"/>
      <c r="O58" s="55" t="s">
        <v>48</v>
      </c>
      <c r="P58" s="55"/>
      <c r="Q58" s="77"/>
      <c r="R58" s="77"/>
      <c r="S58" s="56" t="s">
        <v>48</v>
      </c>
      <c r="T58" s="63">
        <v>44270</v>
      </c>
      <c r="U58" s="64" t="s">
        <v>46</v>
      </c>
      <c r="V58" s="63" t="str">
        <f t="shared" si="3"/>
        <v/>
      </c>
      <c r="W58" s="64" t="str">
        <f t="shared" ca="1" si="4"/>
        <v/>
      </c>
      <c r="X58" s="65" t="s">
        <v>40</v>
      </c>
      <c r="Y58" s="65"/>
      <c r="Z58" s="67"/>
      <c r="AA58" s="67"/>
      <c r="AB58" s="67"/>
      <c r="AC58" s="67"/>
      <c r="AD58" s="67"/>
      <c r="AE58" s="67"/>
      <c r="AF58" s="66"/>
      <c r="AG58" s="66"/>
      <c r="AH58" s="69"/>
      <c r="AI58" s="69"/>
      <c r="AJ58" s="69"/>
      <c r="AK58" s="69"/>
      <c r="AL58" s="69"/>
      <c r="AM58" s="69"/>
      <c r="AN58" s="69"/>
      <c r="AO58" s="69"/>
      <c r="AP58" s="66"/>
      <c r="AQ58" s="65" t="str">
        <f ca="1">IF(ALL_02FEB2024[[#This Row],[Days to Contract End]]&lt;=90,"R",IF(AND(ALL_02FEB2024[[#This Row],[Days to Contract End]]&lt;180),"A","G"))</f>
        <v>G</v>
      </c>
      <c r="AR58" s="70" t="s">
        <v>100</v>
      </c>
      <c r="AS58" s="51"/>
      <c r="AT58" s="52"/>
      <c r="AU58" s="52"/>
    </row>
    <row r="59" spans="2:47" ht="45">
      <c r="B59" s="147" t="s">
        <v>378</v>
      </c>
      <c r="C59" s="71">
        <f>IFERROR(VLOOKUP(B59,'QB Consolidated Contacts'!$A$1:$F$333,6),"-")</f>
        <v>0</v>
      </c>
      <c r="D59" s="208" t="s">
        <v>132</v>
      </c>
      <c r="E59" s="62" t="s">
        <v>158</v>
      </c>
      <c r="F59" s="62" t="s">
        <v>175</v>
      </c>
      <c r="G59" s="62"/>
      <c r="H59" s="143" t="s">
        <v>379</v>
      </c>
      <c r="I59" s="54" t="s">
        <v>39</v>
      </c>
      <c r="J59" s="54"/>
      <c r="K59" s="54" t="s">
        <v>309</v>
      </c>
      <c r="L59" s="31" t="s">
        <v>42</v>
      </c>
      <c r="M59" s="31"/>
      <c r="N59" s="31"/>
      <c r="O59" s="55" t="s">
        <v>290</v>
      </c>
      <c r="P59" s="55"/>
      <c r="Q59" s="77"/>
      <c r="R59" s="77"/>
      <c r="S59" s="56">
        <v>1300</v>
      </c>
      <c r="T59" s="63">
        <v>44512</v>
      </c>
      <c r="U59" s="64" t="s">
        <v>46</v>
      </c>
      <c r="V59" s="63" t="str">
        <f t="shared" si="3"/>
        <v/>
      </c>
      <c r="W59" s="65" t="str">
        <f t="shared" ca="1" si="4"/>
        <v/>
      </c>
      <c r="X59" s="65" t="s">
        <v>40</v>
      </c>
      <c r="Y59" s="65"/>
      <c r="Z59" s="67" t="s">
        <v>48</v>
      </c>
      <c r="AA59" s="67" t="s">
        <v>48</v>
      </c>
      <c r="AB59" s="67"/>
      <c r="AC59" s="67"/>
      <c r="AD59" s="67" t="s">
        <v>48</v>
      </c>
      <c r="AE59" s="67"/>
      <c r="AF59" s="66" t="s">
        <v>48</v>
      </c>
      <c r="AG59" s="66" t="s">
        <v>48</v>
      </c>
      <c r="AH59" s="69"/>
      <c r="AI59" s="69"/>
      <c r="AJ59" s="69"/>
      <c r="AK59" s="69"/>
      <c r="AL59" s="69"/>
      <c r="AM59" s="69"/>
      <c r="AN59" s="69"/>
      <c r="AO59" s="69"/>
      <c r="AP59" s="66" t="s">
        <v>48</v>
      </c>
      <c r="AQ59" s="65" t="str">
        <f ca="1">IF(ALL_02FEB2024[[#This Row],[Days to Contract End]]&lt;=90,"R",IF(AND(ALL_02FEB2024[[#This Row],[Days to Contract End]]&lt;180),"A","G"))</f>
        <v>G</v>
      </c>
      <c r="AR59" s="70" t="s">
        <v>380</v>
      </c>
      <c r="AS59" s="51"/>
      <c r="AT59" s="52"/>
      <c r="AU59" s="52"/>
    </row>
    <row r="60" spans="2:47" ht="45">
      <c r="B60" s="147" t="s">
        <v>378</v>
      </c>
      <c r="C60" s="71">
        <f>IFERROR(VLOOKUP(B60,'QB Consolidated Contacts'!$A$1:$F$333,6),"-")</f>
        <v>0</v>
      </c>
      <c r="D60" s="208" t="s">
        <v>132</v>
      </c>
      <c r="E60" s="62" t="s">
        <v>158</v>
      </c>
      <c r="F60" s="62" t="s">
        <v>295</v>
      </c>
      <c r="G60" s="62"/>
      <c r="H60" s="143" t="s">
        <v>381</v>
      </c>
      <c r="I60" s="54" t="s">
        <v>39</v>
      </c>
      <c r="J60" s="54"/>
      <c r="K60" s="54" t="s">
        <v>309</v>
      </c>
      <c r="L60" s="31" t="s">
        <v>42</v>
      </c>
      <c r="M60" s="31" t="s">
        <v>39</v>
      </c>
      <c r="N60" s="99" t="s">
        <v>382</v>
      </c>
      <c r="O60" s="55" t="s">
        <v>383</v>
      </c>
      <c r="P60" s="55"/>
      <c r="Q60" s="77"/>
      <c r="R60" s="77">
        <f>55440</f>
        <v>55440</v>
      </c>
      <c r="S60" s="56">
        <f>40+40+32</f>
        <v>112</v>
      </c>
      <c r="T60" s="63">
        <v>44850</v>
      </c>
      <c r="U60" s="64"/>
      <c r="V60" s="63">
        <f t="shared" si="3"/>
        <v>44850</v>
      </c>
      <c r="W60" s="65">
        <f t="shared" ca="1" si="4"/>
        <v>-1243</v>
      </c>
      <c r="X60" s="65"/>
      <c r="Y60" s="65"/>
      <c r="Z60" s="67"/>
      <c r="AA60" s="67"/>
      <c r="AB60" s="67"/>
      <c r="AC60" s="67"/>
      <c r="AD60" s="67"/>
      <c r="AE60" s="67"/>
      <c r="AF60" s="66"/>
      <c r="AG60" s="66"/>
      <c r="AH60" s="69"/>
      <c r="AI60" s="69"/>
      <c r="AJ60" s="69"/>
      <c r="AK60" s="69"/>
      <c r="AL60" s="69"/>
      <c r="AM60" s="69"/>
      <c r="AN60" s="69"/>
      <c r="AO60" s="69"/>
      <c r="AP60" s="66"/>
      <c r="AQ60" s="65" t="str">
        <f ca="1">IF(ALL_02FEB2024[[#This Row],[Days to Contract End]]&lt;=90,"R",IF(AND(ALL_02FEB2024[[#This Row],[Days to Contract End]]&lt;180),"A","G"))</f>
        <v>R</v>
      </c>
      <c r="AR60" s="70"/>
      <c r="AS60" s="51"/>
      <c r="AT60" s="52"/>
      <c r="AU60" s="52"/>
    </row>
    <row r="61" spans="2:47">
      <c r="B61" s="147" t="s">
        <v>101</v>
      </c>
      <c r="C61" s="71">
        <f>IFERROR(VLOOKUP(B61,'QB Consolidated Contacts'!$A$1:$F$333,6),"-")</f>
        <v>0</v>
      </c>
      <c r="D61" s="208"/>
      <c r="E61" s="62"/>
      <c r="F61" s="62"/>
      <c r="G61" s="62"/>
      <c r="H61" s="144"/>
      <c r="I61" s="54"/>
      <c r="J61" s="54"/>
      <c r="K61" s="54"/>
      <c r="L61" s="31"/>
      <c r="M61" s="31"/>
      <c r="N61" s="31"/>
      <c r="O61" s="55"/>
      <c r="P61" s="55"/>
      <c r="Q61" s="77"/>
      <c r="R61" s="77"/>
      <c r="S61" s="56"/>
      <c r="T61" s="63"/>
      <c r="U61" s="64"/>
      <c r="V61" s="63">
        <f>IFERROR(EDATE(T61,U61),"")</f>
        <v>0</v>
      </c>
      <c r="W61" s="64">
        <f ca="1">IFERROR(V61-TODAY(),"")</f>
        <v>-46093</v>
      </c>
      <c r="X61" s="65"/>
      <c r="Y61" s="65"/>
      <c r="Z61" s="67"/>
      <c r="AA61" s="67"/>
      <c r="AB61" s="67"/>
      <c r="AC61" s="67"/>
      <c r="AD61" s="67"/>
      <c r="AE61" s="67"/>
      <c r="AF61" s="66"/>
      <c r="AG61" s="66"/>
      <c r="AH61" s="69"/>
      <c r="AI61" s="69"/>
      <c r="AJ61" s="69"/>
      <c r="AK61" s="69"/>
      <c r="AL61" s="69"/>
      <c r="AM61" s="69"/>
      <c r="AN61" s="69"/>
      <c r="AO61" s="69"/>
      <c r="AP61" s="66"/>
      <c r="AQ61" s="64" t="str">
        <f ca="1">IF(ALL_02FEB2024[[#This Row],[Days to Contract End]]&lt;=90,"R",IF(AND(ALL_02FEB2024[[#This Row],[Days to Contract End]]&lt;180),"A","G"))</f>
        <v>R</v>
      </c>
      <c r="AR61" s="70"/>
      <c r="AS61" s="51"/>
      <c r="AT61" s="52"/>
      <c r="AU61" s="52"/>
    </row>
    <row r="62" spans="2:47" ht="60">
      <c r="B62" s="147" t="s">
        <v>384</v>
      </c>
      <c r="C62" s="71">
        <f>IFERROR(VLOOKUP(B62,'QB Consolidated Contacts'!$A$1:$F$333,6),"-")</f>
        <v>0</v>
      </c>
      <c r="D62" s="208" t="s">
        <v>132</v>
      </c>
      <c r="E62" s="62" t="s">
        <v>351</v>
      </c>
      <c r="F62" s="62" t="s">
        <v>288</v>
      </c>
      <c r="G62" s="62"/>
      <c r="H62" s="142" t="s">
        <v>392</v>
      </c>
      <c r="I62" s="54" t="s">
        <v>40</v>
      </c>
      <c r="J62" s="54"/>
      <c r="K62" s="54" t="s">
        <v>317</v>
      </c>
      <c r="L62" s="31" t="s">
        <v>42</v>
      </c>
      <c r="M62" s="31" t="s">
        <v>39</v>
      </c>
      <c r="N62" s="31"/>
      <c r="O62" s="55" t="s">
        <v>383</v>
      </c>
      <c r="P62" s="55"/>
      <c r="Q62" s="77"/>
      <c r="R62" s="77"/>
      <c r="S62" s="56">
        <v>100</v>
      </c>
      <c r="T62" s="63">
        <v>43831</v>
      </c>
      <c r="U62" s="64">
        <v>24</v>
      </c>
      <c r="V62" s="63">
        <f t="shared" si="3"/>
        <v>44562</v>
      </c>
      <c r="W62" s="64">
        <f t="shared" ca="1" si="4"/>
        <v>-1531</v>
      </c>
      <c r="X62" s="65" t="s">
        <v>40</v>
      </c>
      <c r="Y62" s="65"/>
      <c r="Z62" s="67" t="s">
        <v>48</v>
      </c>
      <c r="AA62" s="67" t="s">
        <v>48</v>
      </c>
      <c r="AB62" s="67"/>
      <c r="AC62" s="67"/>
      <c r="AD62" s="67" t="s">
        <v>48</v>
      </c>
      <c r="AE62" s="67"/>
      <c r="AF62" s="66" t="s">
        <v>48</v>
      </c>
      <c r="AG62" s="66" t="s">
        <v>48</v>
      </c>
      <c r="AH62" s="69"/>
      <c r="AI62" s="69"/>
      <c r="AJ62" s="69"/>
      <c r="AK62" s="69"/>
      <c r="AL62" s="69"/>
      <c r="AM62" s="69"/>
      <c r="AN62" s="69"/>
      <c r="AO62" s="69"/>
      <c r="AP62" s="66" t="s">
        <v>48</v>
      </c>
      <c r="AQ62" s="65" t="str">
        <f ca="1">IF(ALL_02FEB2024[[#This Row],[Days to Contract End]]&lt;=90,"R",IF(AND(ALL_02FEB2024[[#This Row],[Days to Contract End]]&lt;180),"A","G"))</f>
        <v>R</v>
      </c>
      <c r="AR62" s="70" t="s">
        <v>403</v>
      </c>
      <c r="AS62" s="51"/>
      <c r="AT62" s="52"/>
      <c r="AU62" s="52"/>
    </row>
    <row r="63" spans="2:47" ht="30">
      <c r="B63" s="147" t="s">
        <v>384</v>
      </c>
      <c r="C63" s="71">
        <f>IFERROR(VLOOKUP(B63,'QB Consolidated Contacts'!$A$1:$F$333,6),"-")</f>
        <v>0</v>
      </c>
      <c r="D63" s="208" t="s">
        <v>132</v>
      </c>
      <c r="E63" s="62" t="s">
        <v>351</v>
      </c>
      <c r="F63" s="62" t="s">
        <v>400</v>
      </c>
      <c r="G63" s="62" t="s">
        <v>633</v>
      </c>
      <c r="H63" s="146" t="s">
        <v>401</v>
      </c>
      <c r="I63" s="54" t="s">
        <v>39</v>
      </c>
      <c r="J63" s="54"/>
      <c r="K63" s="54" t="s">
        <v>315</v>
      </c>
      <c r="L63" s="31" t="s">
        <v>42</v>
      </c>
      <c r="M63" s="31" t="s">
        <v>39</v>
      </c>
      <c r="N63" s="31"/>
      <c r="O63" s="55" t="s">
        <v>383</v>
      </c>
      <c r="P63" s="55"/>
      <c r="Q63" s="77"/>
      <c r="R63" s="77"/>
      <c r="S63" s="56"/>
      <c r="T63" s="63">
        <v>45076</v>
      </c>
      <c r="U63" s="64">
        <v>12</v>
      </c>
      <c r="V63" s="63">
        <f>IFERROR(EDATE(T63,U63),"")</f>
        <v>45442</v>
      </c>
      <c r="W63" s="64">
        <f ca="1">IFERROR(V63-TODAY(),"")</f>
        <v>-651</v>
      </c>
      <c r="X63" s="65"/>
      <c r="Y63" s="65"/>
      <c r="Z63" s="67"/>
      <c r="AA63" s="67"/>
      <c r="AB63" s="67"/>
      <c r="AC63" s="67"/>
      <c r="AD63" s="67"/>
      <c r="AE63" s="67"/>
      <c r="AF63" s="66"/>
      <c r="AG63" s="66"/>
      <c r="AH63" s="69"/>
      <c r="AI63" s="69"/>
      <c r="AJ63" s="69"/>
      <c r="AK63" s="69"/>
      <c r="AL63" s="69"/>
      <c r="AM63" s="69"/>
      <c r="AN63" s="69"/>
      <c r="AO63" s="69"/>
      <c r="AP63" s="66"/>
      <c r="AQ63" s="64" t="str">
        <f ca="1">IF(ALL_02FEB2024[[#This Row],[Days to Contract End]]&lt;=90,"R",IF(AND(ALL_02FEB2024[[#This Row],[Days to Contract End]]&lt;180),"A","G"))</f>
        <v>R</v>
      </c>
      <c r="AR63" s="70"/>
      <c r="AS63" s="51"/>
      <c r="AT63" s="52"/>
      <c r="AU63" s="52"/>
    </row>
    <row r="64" spans="2:47" ht="30">
      <c r="B64" s="147" t="s">
        <v>384</v>
      </c>
      <c r="C64" s="71">
        <f>IFERROR(VLOOKUP(B64,'QB Consolidated Contacts'!$A$1:$F$333,6),"-")</f>
        <v>0</v>
      </c>
      <c r="D64" s="208" t="s">
        <v>132</v>
      </c>
      <c r="E64" s="62" t="s">
        <v>351</v>
      </c>
      <c r="F64" s="62" t="s">
        <v>175</v>
      </c>
      <c r="G64" s="62"/>
      <c r="H64" s="147" t="s">
        <v>396</v>
      </c>
      <c r="I64" s="54" t="s">
        <v>40</v>
      </c>
      <c r="J64" s="54"/>
      <c r="K64" s="54" t="s">
        <v>309</v>
      </c>
      <c r="L64" s="31" t="s">
        <v>42</v>
      </c>
      <c r="M64" s="31" t="s">
        <v>39</v>
      </c>
      <c r="N64" s="99">
        <v>862363</v>
      </c>
      <c r="O64" s="55" t="s">
        <v>383</v>
      </c>
      <c r="P64" s="55"/>
      <c r="Q64" s="77"/>
      <c r="R64" s="77"/>
      <c r="S64" s="56">
        <v>144</v>
      </c>
      <c r="T64" s="63">
        <v>44649</v>
      </c>
      <c r="U64" s="64" t="s">
        <v>46</v>
      </c>
      <c r="V64" s="63" t="str">
        <f t="shared" si="3"/>
        <v/>
      </c>
      <c r="W64" s="65" t="str">
        <f t="shared" ca="1" si="4"/>
        <v/>
      </c>
      <c r="X64" s="65" t="s">
        <v>40</v>
      </c>
      <c r="Y64" s="65"/>
      <c r="Z64" s="67" t="s">
        <v>48</v>
      </c>
      <c r="AA64" s="67" t="s">
        <v>48</v>
      </c>
      <c r="AB64" s="67"/>
      <c r="AC64" s="67"/>
      <c r="AD64" s="67" t="s">
        <v>48</v>
      </c>
      <c r="AE64" s="67"/>
      <c r="AF64" s="66" t="s">
        <v>48</v>
      </c>
      <c r="AG64" s="66" t="s">
        <v>48</v>
      </c>
      <c r="AH64" s="69"/>
      <c r="AI64" s="69"/>
      <c r="AJ64" s="69"/>
      <c r="AK64" s="69"/>
      <c r="AL64" s="69"/>
      <c r="AM64" s="69"/>
      <c r="AN64" s="69"/>
      <c r="AO64" s="69"/>
      <c r="AP64" s="66" t="s">
        <v>48</v>
      </c>
      <c r="AQ64" s="65" t="str">
        <f ca="1">IF(ALL_02FEB2024[[#This Row],[Days to Contract End]]&lt;=90,"R",IF(AND(ALL_02FEB2024[[#This Row],[Days to Contract End]]&lt;180),"A","G"))</f>
        <v>G</v>
      </c>
      <c r="AR64" s="70" t="s">
        <v>397</v>
      </c>
      <c r="AS64" s="51"/>
      <c r="AT64" s="52"/>
      <c r="AU64" s="52"/>
    </row>
    <row r="65" spans="2:47" ht="30">
      <c r="B65" s="147" t="s">
        <v>384</v>
      </c>
      <c r="C65" s="71">
        <f>IFERROR(VLOOKUP(B65,'QB Consolidated Contacts'!$A$1:$F$333,6),"-")</f>
        <v>0</v>
      </c>
      <c r="D65" s="208" t="s">
        <v>132</v>
      </c>
      <c r="E65" s="62" t="s">
        <v>158</v>
      </c>
      <c r="F65" s="62" t="s">
        <v>288</v>
      </c>
      <c r="G65" s="62"/>
      <c r="H65" s="222" t="s">
        <v>394</v>
      </c>
      <c r="I65" s="54" t="s">
        <v>40</v>
      </c>
      <c r="J65" s="54"/>
      <c r="K65" s="54" t="s">
        <v>317</v>
      </c>
      <c r="L65" s="31" t="s">
        <v>42</v>
      </c>
      <c r="M65" s="31" t="s">
        <v>39</v>
      </c>
      <c r="N65" s="31"/>
      <c r="O65" s="55" t="s">
        <v>290</v>
      </c>
      <c r="P65" s="55"/>
      <c r="Q65" s="77"/>
      <c r="R65" s="77"/>
      <c r="S65" s="56">
        <v>660</v>
      </c>
      <c r="T65" s="63">
        <v>45030</v>
      </c>
      <c r="U65" s="64"/>
      <c r="V65" s="63">
        <f t="shared" si="3"/>
        <v>45030</v>
      </c>
      <c r="W65" s="65">
        <f t="shared" ca="1" si="4"/>
        <v>-1063</v>
      </c>
      <c r="X65" s="65" t="s">
        <v>39</v>
      </c>
      <c r="Y65" s="65" t="s">
        <v>81</v>
      </c>
      <c r="Z65" s="67" t="s">
        <v>48</v>
      </c>
      <c r="AA65" s="67" t="s">
        <v>48</v>
      </c>
      <c r="AB65" s="67"/>
      <c r="AC65" s="67"/>
      <c r="AD65" s="67" t="s">
        <v>48</v>
      </c>
      <c r="AE65" s="67"/>
      <c r="AF65" s="66" t="s">
        <v>48</v>
      </c>
      <c r="AG65" s="66" t="s">
        <v>48</v>
      </c>
      <c r="AH65" s="69"/>
      <c r="AI65" s="69"/>
      <c r="AJ65" s="69"/>
      <c r="AK65" s="69"/>
      <c r="AL65" s="69"/>
      <c r="AM65" s="69"/>
      <c r="AN65" s="69"/>
      <c r="AO65" s="69"/>
      <c r="AP65" s="66" t="s">
        <v>48</v>
      </c>
      <c r="AQ65" s="65" t="str">
        <f ca="1">IF(ALL_02FEB2024[[#This Row],[Days to Contract End]]&lt;=90,"R",IF(AND(ALL_02FEB2024[[#This Row],[Days to Contract End]]&lt;180),"A","G"))</f>
        <v>R</v>
      </c>
      <c r="AR65" s="70" t="s">
        <v>395</v>
      </c>
      <c r="AS65" s="51"/>
      <c r="AT65" s="52"/>
      <c r="AU65" s="52"/>
    </row>
    <row r="66" spans="2:47" ht="30">
      <c r="B66" s="147" t="s">
        <v>384</v>
      </c>
      <c r="C66" s="71">
        <f>IFERROR(VLOOKUP(B66,'QB Consolidated Contacts'!$A$1:$F$333,6),"-")</f>
        <v>0</v>
      </c>
      <c r="D66" s="208" t="s">
        <v>132</v>
      </c>
      <c r="E66" s="62" t="s">
        <v>158</v>
      </c>
      <c r="F66" s="62" t="s">
        <v>175</v>
      </c>
      <c r="G66" s="62" t="s">
        <v>633</v>
      </c>
      <c r="H66" s="142" t="s">
        <v>398</v>
      </c>
      <c r="I66" s="54" t="s">
        <v>39</v>
      </c>
      <c r="J66" s="54"/>
      <c r="K66" s="54" t="s">
        <v>108</v>
      </c>
      <c r="L66" s="31" t="s">
        <v>42</v>
      </c>
      <c r="M66" s="31" t="s">
        <v>39</v>
      </c>
      <c r="N66" s="31"/>
      <c r="O66" s="55"/>
      <c r="P66" s="55"/>
      <c r="Q66" s="77"/>
      <c r="R66" s="77"/>
      <c r="S66" s="56" t="s">
        <v>399</v>
      </c>
      <c r="T66" s="63" t="s">
        <v>108</v>
      </c>
      <c r="U66" s="64">
        <v>12</v>
      </c>
      <c r="V66" s="63">
        <v>45473</v>
      </c>
      <c r="W66" s="64">
        <f t="shared" ca="1" si="4"/>
        <v>-620</v>
      </c>
      <c r="X66" s="65"/>
      <c r="Y66" s="65"/>
      <c r="Z66" s="67"/>
      <c r="AA66" s="67"/>
      <c r="AB66" s="67"/>
      <c r="AC66" s="67"/>
      <c r="AD66" s="67"/>
      <c r="AE66" s="67"/>
      <c r="AF66" s="66"/>
      <c r="AG66" s="66"/>
      <c r="AH66" s="69"/>
      <c r="AI66" s="69"/>
      <c r="AJ66" s="69"/>
      <c r="AK66" s="69"/>
      <c r="AL66" s="69"/>
      <c r="AM66" s="69"/>
      <c r="AN66" s="69"/>
      <c r="AO66" s="69"/>
      <c r="AP66" s="66"/>
      <c r="AQ66" s="65" t="str">
        <f ca="1">IF(ALL_02FEB2024[[#This Row],[Days to Contract End]]&lt;=90,"R",IF(AND(ALL_02FEB2024[[#This Row],[Days to Contract End]]&lt;180),"A","G"))</f>
        <v>R</v>
      </c>
      <c r="AR66" s="70"/>
      <c r="AS66" s="51"/>
      <c r="AT66" s="52"/>
      <c r="AU66" s="52"/>
    </row>
    <row r="67" spans="2:47" ht="45">
      <c r="B67" s="156" t="s">
        <v>384</v>
      </c>
      <c r="C67" s="134">
        <f>IFERROR(VLOOKUP(B67,'QB Consolidated Contacts'!$A$1:$F$333,6),"-")</f>
        <v>0</v>
      </c>
      <c r="D67" s="209" t="s">
        <v>174</v>
      </c>
      <c r="E67" s="223" t="s">
        <v>385</v>
      </c>
      <c r="F67" s="223" t="s">
        <v>288</v>
      </c>
      <c r="G67" s="223"/>
      <c r="H67" s="152" t="s">
        <v>388</v>
      </c>
      <c r="I67" s="135" t="s">
        <v>39</v>
      </c>
      <c r="J67" s="135" t="s">
        <v>39</v>
      </c>
      <c r="K67" s="135" t="s">
        <v>315</v>
      </c>
      <c r="L67" s="136" t="s">
        <v>42</v>
      </c>
      <c r="M67" s="136"/>
      <c r="N67" s="136"/>
      <c r="O67" s="137"/>
      <c r="P67" s="137"/>
      <c r="Q67" s="138"/>
      <c r="R67" s="138"/>
      <c r="S67" s="139" t="s">
        <v>389</v>
      </c>
      <c r="T67" s="224">
        <v>45145</v>
      </c>
      <c r="U67" s="225" t="s">
        <v>390</v>
      </c>
      <c r="V67" s="224">
        <v>45535</v>
      </c>
      <c r="W67" s="225">
        <f ca="1">IFERROR(V67-TODAY(),"")</f>
        <v>-558</v>
      </c>
      <c r="X67" s="226"/>
      <c r="Y67" s="226"/>
      <c r="Z67" s="227"/>
      <c r="AA67" s="227"/>
      <c r="AB67" s="227"/>
      <c r="AC67" s="227"/>
      <c r="AD67" s="227"/>
      <c r="AE67" s="227"/>
      <c r="AF67" s="228"/>
      <c r="AG67" s="228"/>
      <c r="AH67" s="229"/>
      <c r="AI67" s="229"/>
      <c r="AJ67" s="229"/>
      <c r="AK67" s="229"/>
      <c r="AL67" s="229"/>
      <c r="AM67" s="229"/>
      <c r="AN67" s="229"/>
      <c r="AO67" s="229"/>
      <c r="AP67" s="228"/>
      <c r="AQ67" s="225" t="str">
        <f ca="1">IF(ALL_02FEB2024[[#This Row],[Days to Contract End]]&lt;=90,"R",IF(AND(ALL_02FEB2024[[#This Row],[Days to Contract End]]&lt;180),"A","G"))</f>
        <v>R</v>
      </c>
      <c r="AR67" s="230" t="s">
        <v>391</v>
      </c>
    </row>
    <row r="68" spans="2:47" ht="45">
      <c r="B68" s="147" t="s">
        <v>102</v>
      </c>
      <c r="C68" s="71">
        <f>IFERROR(VLOOKUP(B68,'QB Consolidated Contacts'!$A$1:$F$333,6),"-")</f>
        <v>0</v>
      </c>
      <c r="D68" s="208"/>
      <c r="E68" s="62" t="s">
        <v>103</v>
      </c>
      <c r="F68" s="62" t="s">
        <v>44</v>
      </c>
      <c r="G68" s="62"/>
      <c r="H68" s="143" t="s">
        <v>104</v>
      </c>
      <c r="I68" s="54" t="s">
        <v>39</v>
      </c>
      <c r="J68" s="54"/>
      <c r="K68" s="54" t="s">
        <v>315</v>
      </c>
      <c r="L68" s="31" t="s">
        <v>42</v>
      </c>
      <c r="M68" s="31"/>
      <c r="N68" s="31">
        <v>50104298</v>
      </c>
      <c r="O68" s="55"/>
      <c r="P68" s="55"/>
      <c r="Q68" s="77"/>
      <c r="R68" s="77"/>
      <c r="S68" s="56"/>
      <c r="T68" s="63">
        <v>44779</v>
      </c>
      <c r="U68" s="64" t="s">
        <v>46</v>
      </c>
      <c r="V68" s="63" t="str">
        <f t="shared" si="3"/>
        <v/>
      </c>
      <c r="W68" s="64" t="str">
        <f t="shared" ca="1" si="4"/>
        <v/>
      </c>
      <c r="X68" s="65"/>
      <c r="Y68" s="65"/>
      <c r="Z68" s="67"/>
      <c r="AA68" s="67"/>
      <c r="AB68" s="67"/>
      <c r="AC68" s="67"/>
      <c r="AD68" s="67"/>
      <c r="AE68" s="67"/>
      <c r="AF68" s="66"/>
      <c r="AG68" s="66"/>
      <c r="AH68" s="69"/>
      <c r="AI68" s="69"/>
      <c r="AJ68" s="69"/>
      <c r="AK68" s="69"/>
      <c r="AL68" s="69"/>
      <c r="AM68" s="69"/>
      <c r="AN68" s="69"/>
      <c r="AO68" s="69"/>
      <c r="AP68" s="66"/>
      <c r="AQ68" s="65" t="str">
        <f ca="1">IF(ALL_02FEB2024[[#This Row],[Days to Contract End]]&lt;=90,"R",IF(AND(ALL_02FEB2024[[#This Row],[Days to Contract End]]&lt;180),"A","G"))</f>
        <v>G</v>
      </c>
      <c r="AR68" s="70"/>
      <c r="AS68" s="51"/>
      <c r="AT68" s="52"/>
      <c r="AU68" s="52"/>
    </row>
    <row r="69" spans="2:47" ht="30">
      <c r="B69" s="147" t="s">
        <v>384</v>
      </c>
      <c r="C69" s="71">
        <f>IFERROR(VLOOKUP(B69,'QB Consolidated Contacts'!$A$1:$F$333,6),"-")</f>
        <v>0</v>
      </c>
      <c r="D69" s="208" t="s">
        <v>174</v>
      </c>
      <c r="E69" s="231" t="s">
        <v>351</v>
      </c>
      <c r="F69" s="62" t="s">
        <v>175</v>
      </c>
      <c r="G69" s="62" t="s">
        <v>633</v>
      </c>
      <c r="H69" s="142" t="s">
        <v>402</v>
      </c>
      <c r="I69" s="54" t="s">
        <v>40</v>
      </c>
      <c r="J69" s="54" t="s">
        <v>39</v>
      </c>
      <c r="K69" s="54" t="s">
        <v>315</v>
      </c>
      <c r="L69" s="31" t="s">
        <v>42</v>
      </c>
      <c r="M69" s="31"/>
      <c r="N69" s="31">
        <v>933851</v>
      </c>
      <c r="O69" s="55"/>
      <c r="P69" s="55"/>
      <c r="Q69" s="77"/>
      <c r="R69" s="77"/>
      <c r="S69" s="56"/>
      <c r="T69" s="63">
        <v>45200</v>
      </c>
      <c r="U69" s="64">
        <v>12</v>
      </c>
      <c r="V69" s="63">
        <v>45565</v>
      </c>
      <c r="W69" s="64">
        <f ca="1">IFERROR(V69-TODAY(),"")</f>
        <v>-528</v>
      </c>
      <c r="X69" s="65"/>
      <c r="Y69" s="65"/>
      <c r="Z69" s="67"/>
      <c r="AA69" s="67"/>
      <c r="AB69" s="67"/>
      <c r="AC69" s="67"/>
      <c r="AD69" s="67"/>
      <c r="AE69" s="67"/>
      <c r="AF69" s="66"/>
      <c r="AG69" s="66"/>
      <c r="AH69" s="69"/>
      <c r="AI69" s="69"/>
      <c r="AJ69" s="69"/>
      <c r="AK69" s="69"/>
      <c r="AL69" s="69"/>
      <c r="AM69" s="69"/>
      <c r="AN69" s="69"/>
      <c r="AO69" s="69"/>
      <c r="AP69" s="66"/>
      <c r="AQ69" s="64" t="str">
        <f ca="1">IF(ALL_02FEB2024[[#This Row],[Days to Contract End]]&lt;=90,"R",IF(AND(ALL_02FEB2024[[#This Row],[Days to Contract End]]&lt;180),"A","G"))</f>
        <v>R</v>
      </c>
      <c r="AR69" s="70"/>
      <c r="AS69" s="51"/>
      <c r="AT69" s="52"/>
      <c r="AU69" s="52"/>
    </row>
    <row r="70" spans="2:47" ht="30">
      <c r="B70" s="147" t="s">
        <v>384</v>
      </c>
      <c r="C70" s="71">
        <f>IFERROR(VLOOKUP(B70,'QB Consolidated Contacts'!$A$1:$F$333,6),"-")</f>
        <v>0</v>
      </c>
      <c r="D70" s="208" t="s">
        <v>174</v>
      </c>
      <c r="E70" s="231" t="s">
        <v>351</v>
      </c>
      <c r="F70" s="62" t="s">
        <v>288</v>
      </c>
      <c r="G70" s="62" t="s">
        <v>633</v>
      </c>
      <c r="H70" s="142" t="s">
        <v>392</v>
      </c>
      <c r="I70" s="54" t="s">
        <v>40</v>
      </c>
      <c r="J70" s="54" t="s">
        <v>39</v>
      </c>
      <c r="K70" s="54" t="s">
        <v>315</v>
      </c>
      <c r="L70" s="31" t="s">
        <v>42</v>
      </c>
      <c r="M70" s="31"/>
      <c r="N70" s="54" t="s">
        <v>393</v>
      </c>
      <c r="O70" s="55"/>
      <c r="P70" s="55"/>
      <c r="Q70" s="77"/>
      <c r="R70" s="77"/>
      <c r="S70" s="56"/>
      <c r="T70" s="63">
        <v>45084</v>
      </c>
      <c r="U70" s="64">
        <v>12</v>
      </c>
      <c r="V70" s="63">
        <f>IFERROR(EDATE(T70,U70),"")</f>
        <v>45450</v>
      </c>
      <c r="W70" s="64">
        <f ca="1">IFERROR(V70-TODAY(),"")</f>
        <v>-643</v>
      </c>
      <c r="X70" s="65"/>
      <c r="Y70" s="65"/>
      <c r="Z70" s="67"/>
      <c r="AA70" s="67"/>
      <c r="AB70" s="67"/>
      <c r="AC70" s="67"/>
      <c r="AD70" s="67"/>
      <c r="AE70" s="67"/>
      <c r="AF70" s="66"/>
      <c r="AG70" s="66"/>
      <c r="AH70" s="69"/>
      <c r="AI70" s="69"/>
      <c r="AJ70" s="69"/>
      <c r="AK70" s="69"/>
      <c r="AL70" s="69"/>
      <c r="AM70" s="69"/>
      <c r="AN70" s="69"/>
      <c r="AO70" s="69"/>
      <c r="AP70" s="66"/>
      <c r="AQ70" s="64" t="str">
        <f ca="1">IF(ALL_02FEB2024[[#This Row],[Days to Contract End]]&lt;=90,"R",IF(AND(ALL_02FEB2024[[#This Row],[Days to Contract End]]&lt;180),"A","G"))</f>
        <v>R</v>
      </c>
      <c r="AR70" s="70"/>
      <c r="AS70" s="51"/>
      <c r="AT70" s="52"/>
      <c r="AU70" s="52"/>
    </row>
    <row r="71" spans="2:47" ht="30">
      <c r="B71" s="147" t="s">
        <v>102</v>
      </c>
      <c r="C71" s="71">
        <f>IFERROR(VLOOKUP(B71,'QB Consolidated Contacts'!$A$1:$F$333,6),"-")</f>
        <v>0</v>
      </c>
      <c r="D71" s="208"/>
      <c r="E71" s="62" t="s">
        <v>351</v>
      </c>
      <c r="F71" s="62" t="s">
        <v>288</v>
      </c>
      <c r="G71" s="62" t="s">
        <v>633</v>
      </c>
      <c r="H71" s="144" t="s">
        <v>636</v>
      </c>
      <c r="I71" s="54" t="s">
        <v>39</v>
      </c>
      <c r="J71" s="54"/>
      <c r="K71" s="54" t="s">
        <v>315</v>
      </c>
      <c r="L71" s="31" t="s">
        <v>42</v>
      </c>
      <c r="M71" s="31" t="s">
        <v>39</v>
      </c>
      <c r="N71" s="99">
        <v>50162702</v>
      </c>
      <c r="O71" s="55" t="s">
        <v>290</v>
      </c>
      <c r="P71" s="55"/>
      <c r="Q71" s="77"/>
      <c r="R71" s="77"/>
      <c r="S71" s="56">
        <v>1040</v>
      </c>
      <c r="T71" s="63"/>
      <c r="U71" s="64"/>
      <c r="V71" s="63">
        <f t="shared" si="3"/>
        <v>0</v>
      </c>
      <c r="W71" s="65">
        <f t="shared" ca="1" si="4"/>
        <v>-46093</v>
      </c>
      <c r="X71" s="65"/>
      <c r="Y71" s="65"/>
      <c r="Z71" s="67" t="s">
        <v>48</v>
      </c>
      <c r="AA71" s="67" t="s">
        <v>48</v>
      </c>
      <c r="AB71" s="67"/>
      <c r="AC71" s="67"/>
      <c r="AD71" s="67" t="s">
        <v>48</v>
      </c>
      <c r="AE71" s="67"/>
      <c r="AF71" s="66" t="s">
        <v>48</v>
      </c>
      <c r="AG71" s="66" t="s">
        <v>48</v>
      </c>
      <c r="AH71" s="69"/>
      <c r="AI71" s="69"/>
      <c r="AJ71" s="69"/>
      <c r="AK71" s="69"/>
      <c r="AL71" s="69"/>
      <c r="AM71" s="69"/>
      <c r="AN71" s="69"/>
      <c r="AO71" s="69"/>
      <c r="AP71" s="66" t="s">
        <v>48</v>
      </c>
      <c r="AQ71" s="65" t="str">
        <f ca="1">IF(ALL_02FEB2024[[#This Row],[Days to Contract End]]&lt;=90,"R",IF(AND(ALL_02FEB2024[[#This Row],[Days to Contract End]]&lt;180),"A","G"))</f>
        <v>R</v>
      </c>
      <c r="AR71" s="70" t="s">
        <v>408</v>
      </c>
      <c r="AS71" s="51"/>
      <c r="AT71" s="52"/>
      <c r="AU71" s="52"/>
    </row>
    <row r="72" spans="2:47" ht="30">
      <c r="B72" s="147" t="s">
        <v>102</v>
      </c>
      <c r="C72" s="71">
        <f>IFERROR(VLOOKUP(B72,'QB Consolidated Contacts'!$A$1:$F$333,6),"-")</f>
        <v>0</v>
      </c>
      <c r="D72" s="208"/>
      <c r="E72" s="62" t="s">
        <v>351</v>
      </c>
      <c r="F72" s="62" t="s">
        <v>288</v>
      </c>
      <c r="G72" s="62" t="s">
        <v>633</v>
      </c>
      <c r="H72" s="144" t="s">
        <v>637</v>
      </c>
      <c r="I72" s="54" t="s">
        <v>39</v>
      </c>
      <c r="J72" s="54"/>
      <c r="K72" s="54" t="s">
        <v>315</v>
      </c>
      <c r="L72" s="31" t="s">
        <v>42</v>
      </c>
      <c r="M72" s="31" t="s">
        <v>39</v>
      </c>
      <c r="N72" s="99">
        <v>50162797</v>
      </c>
      <c r="O72" s="55" t="s">
        <v>290</v>
      </c>
      <c r="P72" s="55"/>
      <c r="Q72" s="77"/>
      <c r="R72" s="77"/>
      <c r="S72" s="56">
        <v>2080</v>
      </c>
      <c r="T72" s="63"/>
      <c r="U72" s="64"/>
      <c r="V72" s="63">
        <f t="shared" si="3"/>
        <v>0</v>
      </c>
      <c r="W72" s="64">
        <f t="shared" ca="1" si="4"/>
        <v>-46093</v>
      </c>
      <c r="X72" s="65"/>
      <c r="Y72" s="65"/>
      <c r="Z72" s="67" t="s">
        <v>48</v>
      </c>
      <c r="AA72" s="67" t="s">
        <v>48</v>
      </c>
      <c r="AB72" s="67"/>
      <c r="AC72" s="67"/>
      <c r="AD72" s="67" t="s">
        <v>48</v>
      </c>
      <c r="AE72" s="67"/>
      <c r="AF72" s="66" t="s">
        <v>48</v>
      </c>
      <c r="AG72" s="66" t="s">
        <v>48</v>
      </c>
      <c r="AH72" s="69"/>
      <c r="AI72" s="69"/>
      <c r="AJ72" s="69"/>
      <c r="AK72" s="69"/>
      <c r="AL72" s="69"/>
      <c r="AM72" s="69"/>
      <c r="AN72" s="69"/>
      <c r="AO72" s="69"/>
      <c r="AP72" s="66" t="s">
        <v>48</v>
      </c>
      <c r="AQ72" s="65" t="str">
        <f ca="1">IF(ALL_02FEB2024[[#This Row],[Days to Contract End]]&lt;=90,"R",IF(AND(ALL_02FEB2024[[#This Row],[Days to Contract End]]&lt;180),"A","G"))</f>
        <v>R</v>
      </c>
      <c r="AR72" s="70" t="s">
        <v>406</v>
      </c>
      <c r="AS72" s="51"/>
      <c r="AT72" s="52"/>
      <c r="AU72" s="52"/>
    </row>
    <row r="73" spans="2:47" ht="30">
      <c r="B73" s="147" t="s">
        <v>412</v>
      </c>
      <c r="C73" s="71">
        <f>IFERROR(VLOOKUP(B73,'QB Consolidated Contacts'!$A$1:$F$333,6),"-")</f>
        <v>0</v>
      </c>
      <c r="D73" s="208" t="s">
        <v>174</v>
      </c>
      <c r="E73" s="62" t="s">
        <v>158</v>
      </c>
      <c r="F73" s="62" t="s">
        <v>175</v>
      </c>
      <c r="G73" s="62"/>
      <c r="H73" s="143" t="s">
        <v>413</v>
      </c>
      <c r="I73" s="54" t="s">
        <v>39</v>
      </c>
      <c r="J73" s="54"/>
      <c r="K73" s="54" t="s">
        <v>317</v>
      </c>
      <c r="L73" s="31" t="s">
        <v>42</v>
      </c>
      <c r="M73" s="31"/>
      <c r="N73" s="31"/>
      <c r="O73" s="55" t="s">
        <v>383</v>
      </c>
      <c r="P73" s="55"/>
      <c r="Q73" s="77"/>
      <c r="R73" s="77"/>
      <c r="S73" s="56">
        <v>60</v>
      </c>
      <c r="T73" s="63">
        <v>44816</v>
      </c>
      <c r="U73" s="64">
        <v>3</v>
      </c>
      <c r="V73" s="63">
        <f>IFERROR(EOMONTH(T73,U73),"")</f>
        <v>44926</v>
      </c>
      <c r="W73" s="64">
        <f t="shared" ca="1" si="4"/>
        <v>-1167</v>
      </c>
      <c r="X73" s="65"/>
      <c r="Y73" s="65"/>
      <c r="Z73" s="67" t="s">
        <v>48</v>
      </c>
      <c r="AA73" s="67" t="s">
        <v>48</v>
      </c>
      <c r="AB73" s="67"/>
      <c r="AC73" s="67"/>
      <c r="AD73" s="67" t="s">
        <v>48</v>
      </c>
      <c r="AE73" s="67"/>
      <c r="AF73" s="66" t="s">
        <v>48</v>
      </c>
      <c r="AG73" s="66" t="s">
        <v>48</v>
      </c>
      <c r="AH73" s="69"/>
      <c r="AI73" s="69"/>
      <c r="AJ73" s="69"/>
      <c r="AK73" s="69"/>
      <c r="AL73" s="69"/>
      <c r="AM73" s="69"/>
      <c r="AN73" s="69"/>
      <c r="AO73" s="69"/>
      <c r="AP73" s="66" t="s">
        <v>48</v>
      </c>
      <c r="AQ73" s="65" t="str">
        <f ca="1">IF(ALL_02FEB2024[[#This Row],[Days to Contract End]]&lt;=90,"R",IF(AND(ALL_02FEB2024[[#This Row],[Days to Contract End]]&lt;180),"A","G"))</f>
        <v>R</v>
      </c>
      <c r="AR73" s="70" t="s">
        <v>414</v>
      </c>
      <c r="AS73" s="51"/>
      <c r="AT73" s="52"/>
      <c r="AU73" s="52"/>
    </row>
    <row r="74" spans="2:47" ht="30">
      <c r="B74" s="147" t="s">
        <v>412</v>
      </c>
      <c r="C74" s="71">
        <f>IFERROR(VLOOKUP(B74,'QB Consolidated Contacts'!$A$1:$F$333,6),"-")</f>
        <v>0</v>
      </c>
      <c r="D74" s="208" t="s">
        <v>174</v>
      </c>
      <c r="E74" s="62" t="s">
        <v>158</v>
      </c>
      <c r="F74" s="62" t="s">
        <v>175</v>
      </c>
      <c r="G74" s="62"/>
      <c r="H74" s="143" t="s">
        <v>415</v>
      </c>
      <c r="I74" s="54" t="s">
        <v>39</v>
      </c>
      <c r="J74" s="54"/>
      <c r="K74" s="54" t="s">
        <v>317</v>
      </c>
      <c r="L74" s="31" t="s">
        <v>42</v>
      </c>
      <c r="M74" s="31"/>
      <c r="N74" s="31"/>
      <c r="O74" s="55" t="s">
        <v>416</v>
      </c>
      <c r="P74" s="55"/>
      <c r="Q74" s="77"/>
      <c r="R74" s="77"/>
      <c r="S74" s="56">
        <v>640</v>
      </c>
      <c r="T74" s="63">
        <v>44578</v>
      </c>
      <c r="U74" s="64">
        <v>11</v>
      </c>
      <c r="V74" s="63">
        <f>IFERROR(EOMONTH(T74,U74),"")</f>
        <v>44926</v>
      </c>
      <c r="W74" s="64">
        <f t="shared" ca="1" si="4"/>
        <v>-1167</v>
      </c>
      <c r="X74" s="65"/>
      <c r="Y74" s="65"/>
      <c r="Z74" s="67" t="s">
        <v>48</v>
      </c>
      <c r="AA74" s="67" t="s">
        <v>48</v>
      </c>
      <c r="AB74" s="67"/>
      <c r="AC74" s="67"/>
      <c r="AD74" s="67" t="s">
        <v>48</v>
      </c>
      <c r="AE74" s="67"/>
      <c r="AF74" s="66" t="s">
        <v>48</v>
      </c>
      <c r="AG74" s="66" t="s">
        <v>48</v>
      </c>
      <c r="AH74" s="69"/>
      <c r="AI74" s="69"/>
      <c r="AJ74" s="69"/>
      <c r="AK74" s="69"/>
      <c r="AL74" s="69"/>
      <c r="AM74" s="69"/>
      <c r="AN74" s="69"/>
      <c r="AO74" s="69"/>
      <c r="AP74" s="66" t="s">
        <v>48</v>
      </c>
      <c r="AQ74" s="65" t="str">
        <f ca="1">IF(ALL_02FEB2024[[#This Row],[Days to Contract End]]&lt;=90,"R",IF(AND(ALL_02FEB2024[[#This Row],[Days to Contract End]]&lt;180),"A","G"))</f>
        <v>R</v>
      </c>
      <c r="AR74" s="70" t="s">
        <v>417</v>
      </c>
      <c r="AS74" s="51"/>
      <c r="AT74" s="52"/>
      <c r="AU74" s="52"/>
    </row>
    <row r="75" spans="2:47">
      <c r="B75" s="147" t="s">
        <v>107</v>
      </c>
      <c r="C75" s="71">
        <f>IFERROR(VLOOKUP(B75,'QB Consolidated Contacts'!$A$1:$F$333,6),"-")</f>
        <v>0</v>
      </c>
      <c r="D75" s="208"/>
      <c r="E75" s="62" t="s">
        <v>43</v>
      </c>
      <c r="F75" s="62" t="s">
        <v>108</v>
      </c>
      <c r="G75" s="62"/>
      <c r="H75" s="144"/>
      <c r="I75" s="54" t="s">
        <v>40</v>
      </c>
      <c r="J75" s="54"/>
      <c r="K75" s="54" t="s">
        <v>108</v>
      </c>
      <c r="L75" s="31" t="s">
        <v>51</v>
      </c>
      <c r="M75" s="31"/>
      <c r="N75" s="31"/>
      <c r="O75" s="55"/>
      <c r="P75" s="55"/>
      <c r="Q75" s="77"/>
      <c r="R75" s="77"/>
      <c r="S75" s="56"/>
      <c r="T75" s="63"/>
      <c r="U75" s="64"/>
      <c r="V75" s="63">
        <f t="shared" ref="V75:V116" si="7">IFERROR(EDATE(T75,U75),"")</f>
        <v>0</v>
      </c>
      <c r="W75" s="64">
        <f t="shared" ca="1" si="4"/>
        <v>-46093</v>
      </c>
      <c r="X75" s="65"/>
      <c r="Y75" s="65"/>
      <c r="Z75" s="67"/>
      <c r="AA75" s="67"/>
      <c r="AB75" s="67"/>
      <c r="AC75" s="67"/>
      <c r="AD75" s="67"/>
      <c r="AE75" s="67"/>
      <c r="AF75" s="66"/>
      <c r="AG75" s="66"/>
      <c r="AH75" s="69"/>
      <c r="AI75" s="69"/>
      <c r="AJ75" s="69"/>
      <c r="AK75" s="69"/>
      <c r="AL75" s="69"/>
      <c r="AM75" s="69"/>
      <c r="AN75" s="69"/>
      <c r="AO75" s="69"/>
      <c r="AP75" s="66"/>
      <c r="AQ75" s="65" t="str">
        <f ca="1">IF(ALL_02FEB2024[[#This Row],[Days to Contract End]]&lt;=90,"R",IF(AND(ALL_02FEB2024[[#This Row],[Days to Contract End]]&lt;180),"A","G"))</f>
        <v>R</v>
      </c>
      <c r="AR75" s="70"/>
      <c r="AS75" s="51"/>
      <c r="AT75" s="52"/>
      <c r="AU75" s="52"/>
    </row>
    <row r="76" spans="2:47">
      <c r="B76" s="147" t="s">
        <v>109</v>
      </c>
      <c r="C76" s="71">
        <f>IFERROR(VLOOKUP(B76,'QB Consolidated Contacts'!$A$1:$F$333,6),"-")</f>
        <v>0</v>
      </c>
      <c r="D76" s="208"/>
      <c r="E76" s="62" t="s">
        <v>43</v>
      </c>
      <c r="F76" s="62" t="s">
        <v>44</v>
      </c>
      <c r="G76" s="62"/>
      <c r="H76" s="143" t="s">
        <v>45</v>
      </c>
      <c r="I76" s="54" t="s">
        <v>39</v>
      </c>
      <c r="J76" s="54"/>
      <c r="K76" s="54" t="s">
        <v>315</v>
      </c>
      <c r="L76" s="31" t="s">
        <v>51</v>
      </c>
      <c r="M76" s="31"/>
      <c r="N76" s="31"/>
      <c r="O76" s="55" t="s">
        <v>48</v>
      </c>
      <c r="P76" s="55"/>
      <c r="Q76" s="77"/>
      <c r="R76" s="77"/>
      <c r="S76" s="56"/>
      <c r="T76" s="63">
        <v>44232</v>
      </c>
      <c r="U76" s="64" t="s">
        <v>46</v>
      </c>
      <c r="V76" s="63" t="str">
        <f t="shared" si="7"/>
        <v/>
      </c>
      <c r="W76" s="64" t="str">
        <f t="shared" ca="1" si="4"/>
        <v/>
      </c>
      <c r="X76" s="65" t="s">
        <v>39</v>
      </c>
      <c r="Y76" s="65"/>
      <c r="Z76" s="67"/>
      <c r="AA76" s="67" t="s">
        <v>47</v>
      </c>
      <c r="AB76" s="67"/>
      <c r="AC76" s="67"/>
      <c r="AD76" s="67"/>
      <c r="AE76" s="67"/>
      <c r="AF76" s="66"/>
      <c r="AG76" s="66"/>
      <c r="AH76" s="69"/>
      <c r="AI76" s="69"/>
      <c r="AJ76" s="69"/>
      <c r="AK76" s="69"/>
      <c r="AL76" s="69"/>
      <c r="AM76" s="69"/>
      <c r="AN76" s="69"/>
      <c r="AO76" s="69"/>
      <c r="AP76" s="66" t="s">
        <v>49</v>
      </c>
      <c r="AQ76" s="65" t="str">
        <f ca="1">IF(ALL_02FEB2024[[#This Row],[Days to Contract End]]&lt;=90,"R",IF(AND(ALL_02FEB2024[[#This Row],[Days to Contract End]]&lt;180),"A","G"))</f>
        <v>G</v>
      </c>
      <c r="AR76" s="70"/>
      <c r="AS76" s="51"/>
      <c r="AT76" s="52"/>
      <c r="AU76" s="52"/>
    </row>
    <row r="77" spans="2:47" ht="30">
      <c r="B77" s="147" t="s">
        <v>109</v>
      </c>
      <c r="C77" s="71">
        <f>IFERROR(VLOOKUP(B77,'QB Consolidated Contacts'!$A$1:$F$333,6),"-")</f>
        <v>0</v>
      </c>
      <c r="D77" s="208" t="s">
        <v>132</v>
      </c>
      <c r="E77" s="62" t="s">
        <v>158</v>
      </c>
      <c r="F77" s="62" t="s">
        <v>288</v>
      </c>
      <c r="G77" s="62" t="s">
        <v>634</v>
      </c>
      <c r="H77" s="143" t="s">
        <v>418</v>
      </c>
      <c r="I77" s="54" t="s">
        <v>39</v>
      </c>
      <c r="J77" s="54"/>
      <c r="K77" s="54" t="s">
        <v>315</v>
      </c>
      <c r="L77" s="31" t="s">
        <v>51</v>
      </c>
      <c r="M77" s="31"/>
      <c r="N77" s="31"/>
      <c r="O77" s="55" t="s">
        <v>290</v>
      </c>
      <c r="P77" s="55"/>
      <c r="Q77" s="77"/>
      <c r="R77" s="77">
        <v>479200</v>
      </c>
      <c r="S77" s="56" t="s">
        <v>419</v>
      </c>
      <c r="T77" s="63">
        <v>44775</v>
      </c>
      <c r="U77" s="64" t="s">
        <v>46</v>
      </c>
      <c r="V77" s="63" t="str">
        <f t="shared" si="7"/>
        <v/>
      </c>
      <c r="W77" s="65" t="str">
        <f t="shared" ca="1" si="4"/>
        <v/>
      </c>
      <c r="X77" s="65" t="s">
        <v>40</v>
      </c>
      <c r="Y77" s="65"/>
      <c r="Z77" s="67" t="s">
        <v>48</v>
      </c>
      <c r="AA77" s="67" t="s">
        <v>48</v>
      </c>
      <c r="AB77" s="67"/>
      <c r="AC77" s="67"/>
      <c r="AD77" s="67" t="s">
        <v>48</v>
      </c>
      <c r="AE77" s="67"/>
      <c r="AF77" s="66" t="s">
        <v>48</v>
      </c>
      <c r="AG77" s="66" t="s">
        <v>48</v>
      </c>
      <c r="AH77" s="69"/>
      <c r="AI77" s="69"/>
      <c r="AJ77" s="69"/>
      <c r="AK77" s="69"/>
      <c r="AL77" s="69"/>
      <c r="AM77" s="69"/>
      <c r="AN77" s="69"/>
      <c r="AO77" s="69"/>
      <c r="AP77" s="66" t="s">
        <v>48</v>
      </c>
      <c r="AQ77" s="65" t="str">
        <f ca="1">IF(ALL_02FEB2024[[#This Row],[Days to Contract End]]&lt;=90,"R",IF(AND(ALL_02FEB2024[[#This Row],[Days to Contract End]]&lt;180),"A","G"))</f>
        <v>G</v>
      </c>
      <c r="AR77" s="70"/>
      <c r="AS77" s="51"/>
      <c r="AT77" s="52"/>
      <c r="AU77" s="52"/>
    </row>
    <row r="78" spans="2:47">
      <c r="B78" s="147" t="s">
        <v>110</v>
      </c>
      <c r="C78" s="71">
        <f>IFERROR(VLOOKUP(B78,'QB Consolidated Contacts'!$A$1:$F$333,6),"-")</f>
        <v>0</v>
      </c>
      <c r="D78" s="208"/>
      <c r="E78" s="62" t="s">
        <v>66</v>
      </c>
      <c r="F78" s="62" t="s">
        <v>44</v>
      </c>
      <c r="G78" s="62"/>
      <c r="H78" s="143" t="s">
        <v>78</v>
      </c>
      <c r="I78" s="54" t="s">
        <v>39</v>
      </c>
      <c r="J78" s="54" t="s">
        <v>40</v>
      </c>
      <c r="K78" s="54" t="s">
        <v>315</v>
      </c>
      <c r="L78" s="31" t="s">
        <v>42</v>
      </c>
      <c r="M78" s="31"/>
      <c r="N78" s="31"/>
      <c r="O78" s="55"/>
      <c r="P78" s="55"/>
      <c r="Q78" s="77"/>
      <c r="R78" s="77"/>
      <c r="S78" s="56"/>
      <c r="T78" s="63">
        <v>45061</v>
      </c>
      <c r="U78" s="64">
        <v>24</v>
      </c>
      <c r="V78" s="63">
        <f t="shared" si="7"/>
        <v>45792</v>
      </c>
      <c r="W78" s="64">
        <f t="shared" ca="1" si="4"/>
        <v>-301</v>
      </c>
      <c r="X78" s="65"/>
      <c r="Y78" s="65"/>
      <c r="Z78" s="67"/>
      <c r="AA78" s="67"/>
      <c r="AB78" s="67"/>
      <c r="AC78" s="67"/>
      <c r="AD78" s="67"/>
      <c r="AE78" s="67"/>
      <c r="AF78" s="66"/>
      <c r="AG78" s="66"/>
      <c r="AH78" s="69"/>
      <c r="AI78" s="69"/>
      <c r="AJ78" s="69"/>
      <c r="AK78" s="69"/>
      <c r="AL78" s="69"/>
      <c r="AM78" s="69"/>
      <c r="AN78" s="69"/>
      <c r="AO78" s="69"/>
      <c r="AP78" s="66"/>
      <c r="AQ78" s="65" t="str">
        <f ca="1">IF(ALL_02FEB2024[[#This Row],[Days to Contract End]]&lt;=90,"R",IF(AND(ALL_02FEB2024[[#This Row],[Days to Contract End]]&lt;180),"A","G"))</f>
        <v>R</v>
      </c>
      <c r="AR78" s="70"/>
      <c r="AS78" s="51"/>
      <c r="AT78" s="52"/>
      <c r="AU78" s="52"/>
    </row>
    <row r="79" spans="2:47">
      <c r="B79" s="147" t="s">
        <v>111</v>
      </c>
      <c r="C79" s="71">
        <f>IFERROR(VLOOKUP(B79,'QB Consolidated Contacts'!$A$1:$F$333,6),"-")</f>
        <v>0</v>
      </c>
      <c r="D79" s="208"/>
      <c r="E79" s="62" t="s">
        <v>43</v>
      </c>
      <c r="F79" s="62" t="s">
        <v>44</v>
      </c>
      <c r="G79" s="62"/>
      <c r="H79" s="143" t="s">
        <v>45</v>
      </c>
      <c r="I79" s="54" t="s">
        <v>39</v>
      </c>
      <c r="J79" s="54" t="s">
        <v>39</v>
      </c>
      <c r="K79" s="54" t="s">
        <v>315</v>
      </c>
      <c r="L79" s="31" t="s">
        <v>42</v>
      </c>
      <c r="M79" s="31"/>
      <c r="N79" s="31"/>
      <c r="O79" s="55"/>
      <c r="P79" s="55"/>
      <c r="Q79" s="77"/>
      <c r="R79" s="77"/>
      <c r="S79" s="56"/>
      <c r="T79" s="63">
        <v>43243</v>
      </c>
      <c r="U79" s="64" t="s">
        <v>46</v>
      </c>
      <c r="V79" s="63" t="str">
        <f t="shared" si="7"/>
        <v/>
      </c>
      <c r="W79" s="64" t="str">
        <f t="shared" ca="1" si="4"/>
        <v/>
      </c>
      <c r="X79" s="65"/>
      <c r="Y79" s="65"/>
      <c r="Z79" s="67"/>
      <c r="AA79" s="67"/>
      <c r="AB79" s="67"/>
      <c r="AC79" s="67"/>
      <c r="AD79" s="67"/>
      <c r="AE79" s="67"/>
      <c r="AF79" s="66"/>
      <c r="AG79" s="66"/>
      <c r="AH79" s="69"/>
      <c r="AI79" s="69"/>
      <c r="AJ79" s="69"/>
      <c r="AK79" s="69"/>
      <c r="AL79" s="69"/>
      <c r="AM79" s="69"/>
      <c r="AN79" s="69"/>
      <c r="AO79" s="69"/>
      <c r="AP79" s="66"/>
      <c r="AQ79" s="65" t="str">
        <f ca="1">IF(ALL_02FEB2024[[#This Row],[Days to Contract End]]&lt;=90,"R",IF(AND(ALL_02FEB2024[[#This Row],[Days to Contract End]]&lt;180),"A","G"))</f>
        <v>G</v>
      </c>
      <c r="AR79" s="70"/>
      <c r="AS79" s="51"/>
      <c r="AT79" s="52"/>
      <c r="AU79" s="52"/>
    </row>
    <row r="80" spans="2:47" ht="45">
      <c r="B80" s="147" t="s">
        <v>111</v>
      </c>
      <c r="C80" s="71">
        <f>IFERROR(VLOOKUP(B80,'QB Consolidated Contacts'!$A$1:$F$333,6),"-")</f>
        <v>0</v>
      </c>
      <c r="D80" s="208" t="s">
        <v>132</v>
      </c>
      <c r="E80" s="62" t="s">
        <v>158</v>
      </c>
      <c r="F80" s="62" t="s">
        <v>288</v>
      </c>
      <c r="G80" s="62"/>
      <c r="H80" s="143" t="s">
        <v>420</v>
      </c>
      <c r="I80" s="54" t="s">
        <v>39</v>
      </c>
      <c r="J80" s="54"/>
      <c r="K80" s="54" t="s">
        <v>309</v>
      </c>
      <c r="L80" s="31" t="s">
        <v>51</v>
      </c>
      <c r="M80" s="31"/>
      <c r="N80" s="31"/>
      <c r="O80" s="55" t="s">
        <v>290</v>
      </c>
      <c r="P80" s="55"/>
      <c r="Q80" s="77"/>
      <c r="R80" s="77"/>
      <c r="S80" s="56"/>
      <c r="T80" s="63">
        <v>44294</v>
      </c>
      <c r="U80" s="64" t="s">
        <v>46</v>
      </c>
      <c r="V80" s="63" t="str">
        <f t="shared" si="7"/>
        <v/>
      </c>
      <c r="W80" s="64" t="str">
        <f t="shared" ca="1" si="4"/>
        <v/>
      </c>
      <c r="X80" s="65"/>
      <c r="Y80" s="65"/>
      <c r="Z80" s="67" t="s">
        <v>48</v>
      </c>
      <c r="AA80" s="67" t="s">
        <v>48</v>
      </c>
      <c r="AB80" s="67"/>
      <c r="AC80" s="67"/>
      <c r="AD80" s="67" t="s">
        <v>48</v>
      </c>
      <c r="AE80" s="67"/>
      <c r="AF80" s="66" t="s">
        <v>48</v>
      </c>
      <c r="AG80" s="66" t="s">
        <v>48</v>
      </c>
      <c r="AH80" s="69"/>
      <c r="AI80" s="69"/>
      <c r="AJ80" s="69"/>
      <c r="AK80" s="69"/>
      <c r="AL80" s="69"/>
      <c r="AM80" s="69"/>
      <c r="AN80" s="69"/>
      <c r="AO80" s="69"/>
      <c r="AP80" s="66" t="s">
        <v>48</v>
      </c>
      <c r="AQ80" s="65" t="str">
        <f ca="1">IF(ALL_02FEB2024[[#This Row],[Days to Contract End]]&lt;=90,"R",IF(AND(ALL_02FEB2024[[#This Row],[Days to Contract End]]&lt;180),"A","G"))</f>
        <v>G</v>
      </c>
      <c r="AR80" s="70" t="s">
        <v>421</v>
      </c>
      <c r="AS80" s="51"/>
      <c r="AT80" s="52"/>
      <c r="AU80" s="52"/>
    </row>
    <row r="81" spans="2:47" ht="30">
      <c r="B81" s="147" t="s">
        <v>111</v>
      </c>
      <c r="C81" s="71">
        <f>IFERROR(VLOOKUP(B81,'QB Consolidated Contacts'!$A$1:$F$333,6),"-")</f>
        <v>0</v>
      </c>
      <c r="D81" s="208" t="s">
        <v>132</v>
      </c>
      <c r="E81" s="62" t="s">
        <v>158</v>
      </c>
      <c r="F81" s="62" t="s">
        <v>288</v>
      </c>
      <c r="G81" s="62" t="s">
        <v>634</v>
      </c>
      <c r="H81" s="148" t="s">
        <v>288</v>
      </c>
      <c r="I81" s="54" t="s">
        <v>40</v>
      </c>
      <c r="J81" s="54"/>
      <c r="K81" s="54" t="s">
        <v>315</v>
      </c>
      <c r="L81" s="31" t="s">
        <v>42</v>
      </c>
      <c r="M81" s="31"/>
      <c r="N81" s="31"/>
      <c r="O81" s="55" t="s">
        <v>290</v>
      </c>
      <c r="P81" s="55"/>
      <c r="Q81" s="77"/>
      <c r="R81" s="77"/>
      <c r="S81" s="56"/>
      <c r="T81" s="63"/>
      <c r="U81" s="64"/>
      <c r="V81" s="63">
        <f t="shared" si="7"/>
        <v>0</v>
      </c>
      <c r="W81" s="65">
        <f t="shared" ca="1" si="4"/>
        <v>-46093</v>
      </c>
      <c r="X81" s="65"/>
      <c r="Y81" s="65"/>
      <c r="Z81" s="67" t="s">
        <v>48</v>
      </c>
      <c r="AA81" s="67" t="s">
        <v>48</v>
      </c>
      <c r="AB81" s="67"/>
      <c r="AC81" s="67"/>
      <c r="AD81" s="67" t="s">
        <v>48</v>
      </c>
      <c r="AE81" s="67"/>
      <c r="AF81" s="66" t="s">
        <v>48</v>
      </c>
      <c r="AG81" s="66" t="s">
        <v>48</v>
      </c>
      <c r="AH81" s="69"/>
      <c r="AI81" s="69"/>
      <c r="AJ81" s="69"/>
      <c r="AK81" s="69"/>
      <c r="AL81" s="69"/>
      <c r="AM81" s="69"/>
      <c r="AN81" s="69"/>
      <c r="AO81" s="69"/>
      <c r="AP81" s="66" t="s">
        <v>48</v>
      </c>
      <c r="AQ81" s="65" t="str">
        <f ca="1">IF(ALL_02FEB2024[[#This Row],[Days to Contract End]]&lt;=90,"R",IF(AND(ALL_02FEB2024[[#This Row],[Days to Contract End]]&lt;180),"A","G"))</f>
        <v>R</v>
      </c>
      <c r="AR81" s="70" t="s">
        <v>422</v>
      </c>
      <c r="AS81" s="51"/>
      <c r="AT81" s="52"/>
      <c r="AU81" s="52"/>
    </row>
    <row r="82" spans="2:47" ht="45">
      <c r="B82" s="147" t="s">
        <v>112</v>
      </c>
      <c r="C82" s="71">
        <f>IFERROR(VLOOKUP(B82,'QB Consolidated Contacts'!$A$1:$F$333,6),"-")</f>
        <v>0</v>
      </c>
      <c r="D82" s="208" t="s">
        <v>113</v>
      </c>
      <c r="E82" s="62" t="s">
        <v>114</v>
      </c>
      <c r="F82" s="62" t="s">
        <v>44</v>
      </c>
      <c r="G82" s="62" t="s">
        <v>634</v>
      </c>
      <c r="H82" s="142" t="s">
        <v>115</v>
      </c>
      <c r="I82" s="54" t="s">
        <v>39</v>
      </c>
      <c r="J82" s="54" t="s">
        <v>39</v>
      </c>
      <c r="K82" s="54" t="s">
        <v>315</v>
      </c>
      <c r="L82" s="31" t="s">
        <v>51</v>
      </c>
      <c r="M82" s="31"/>
      <c r="N82" s="31"/>
      <c r="O82" s="55"/>
      <c r="P82" s="55"/>
      <c r="Q82" s="77"/>
      <c r="R82" s="77"/>
      <c r="S82" s="56"/>
      <c r="T82" s="63">
        <v>45315</v>
      </c>
      <c r="U82" s="64" t="s">
        <v>46</v>
      </c>
      <c r="V82" s="63" t="str">
        <f>IFERROR(EDATE(T82,U82),"")</f>
        <v/>
      </c>
      <c r="W82" s="64" t="str">
        <f ca="1">IFERROR(V82-TODAY(),"")</f>
        <v/>
      </c>
      <c r="X82" s="65"/>
      <c r="Y82" s="65"/>
      <c r="Z82" s="67"/>
      <c r="AA82" s="67" t="s">
        <v>47</v>
      </c>
      <c r="AB82" s="67"/>
      <c r="AC82" s="67"/>
      <c r="AD82" s="67"/>
      <c r="AE82" s="67"/>
      <c r="AF82" s="66"/>
      <c r="AG82" s="66"/>
      <c r="AH82" s="69"/>
      <c r="AI82" s="69"/>
      <c r="AJ82" s="69"/>
      <c r="AK82" s="69"/>
      <c r="AL82" s="69"/>
      <c r="AM82" s="69"/>
      <c r="AN82" s="69"/>
      <c r="AO82" s="69"/>
      <c r="AP82" s="66" t="s">
        <v>116</v>
      </c>
      <c r="AQ82" s="64" t="str">
        <f ca="1">IF(ALL_02FEB2024[[#This Row],[Days to Contract End]]&lt;=90,"R",IF(AND(ALL_02FEB2024[[#This Row],[Days to Contract End]]&lt;180),"A","G"))</f>
        <v>G</v>
      </c>
      <c r="AR82" s="70"/>
      <c r="AS82" s="51"/>
      <c r="AT82" s="52"/>
      <c r="AU82" s="52"/>
    </row>
    <row r="83" spans="2:47" ht="45">
      <c r="B83" s="147" t="s">
        <v>112</v>
      </c>
      <c r="C83" s="71">
        <f>IFERROR(VLOOKUP(B83,'QB Consolidated Contacts'!$A$1:$F$333,6),"-")</f>
        <v>0</v>
      </c>
      <c r="D83" s="208" t="s">
        <v>113</v>
      </c>
      <c r="E83" s="62" t="s">
        <v>66</v>
      </c>
      <c r="F83" s="62" t="s">
        <v>44</v>
      </c>
      <c r="G83" s="62" t="s">
        <v>634</v>
      </c>
      <c r="H83" s="142" t="s">
        <v>117</v>
      </c>
      <c r="I83" s="54" t="s">
        <v>39</v>
      </c>
      <c r="J83" s="54" t="s">
        <v>39</v>
      </c>
      <c r="K83" s="54" t="s">
        <v>315</v>
      </c>
      <c r="L83" s="31" t="s">
        <v>51</v>
      </c>
      <c r="M83" s="31"/>
      <c r="N83" s="31"/>
      <c r="O83" s="55"/>
      <c r="P83" s="55"/>
      <c r="Q83" s="77"/>
      <c r="R83" s="77"/>
      <c r="S83" s="56"/>
      <c r="T83" s="63">
        <v>45324</v>
      </c>
      <c r="U83" s="64">
        <v>24</v>
      </c>
      <c r="V83" s="63">
        <f>IFERROR(EDATE(T83,U83),"")</f>
        <v>46055</v>
      </c>
      <c r="W83" s="64">
        <f ca="1">IFERROR(V83-TODAY(),"")</f>
        <v>-38</v>
      </c>
      <c r="X83" s="65"/>
      <c r="Y83" s="65"/>
      <c r="Z83" s="67"/>
      <c r="AA83" s="67"/>
      <c r="AB83" s="67"/>
      <c r="AC83" s="67"/>
      <c r="AD83" s="67"/>
      <c r="AE83" s="67"/>
      <c r="AF83" s="66"/>
      <c r="AG83" s="66"/>
      <c r="AH83" s="69"/>
      <c r="AI83" s="69"/>
      <c r="AJ83" s="69"/>
      <c r="AK83" s="69"/>
      <c r="AL83" s="69"/>
      <c r="AM83" s="69"/>
      <c r="AN83" s="69"/>
      <c r="AO83" s="69"/>
      <c r="AP83" s="66"/>
      <c r="AQ83" s="64" t="str">
        <f ca="1">IF(ALL_02FEB2024[[#This Row],[Days to Contract End]]&lt;=90,"R",IF(AND(ALL_02FEB2024[[#This Row],[Days to Contract End]]&lt;180),"A","G"))</f>
        <v>R</v>
      </c>
      <c r="AR83" s="70"/>
      <c r="AS83" s="51"/>
      <c r="AT83" s="52"/>
      <c r="AU83" s="52"/>
    </row>
    <row r="84" spans="2:47" ht="45">
      <c r="B84" s="147" t="s">
        <v>112</v>
      </c>
      <c r="C84" s="71">
        <f>IFERROR(VLOOKUP(B84,'QB Consolidated Contacts'!$A$1:$F$333,6),"-")</f>
        <v>0</v>
      </c>
      <c r="D84" s="208" t="s">
        <v>132</v>
      </c>
      <c r="E84" s="62" t="s">
        <v>158</v>
      </c>
      <c r="F84" s="62" t="s">
        <v>288</v>
      </c>
      <c r="G84" s="62" t="s">
        <v>634</v>
      </c>
      <c r="H84" s="144"/>
      <c r="I84" s="54"/>
      <c r="J84" s="54"/>
      <c r="K84" s="54"/>
      <c r="L84" s="31"/>
      <c r="M84" s="31"/>
      <c r="N84" s="31"/>
      <c r="O84" s="55"/>
      <c r="P84" s="55"/>
      <c r="Q84" s="77"/>
      <c r="R84" s="77"/>
      <c r="S84" s="56"/>
      <c r="T84" s="63"/>
      <c r="U84" s="64"/>
      <c r="V84" s="63">
        <f>IFERROR(EDATE(T84,U84),"")</f>
        <v>0</v>
      </c>
      <c r="W84" s="64">
        <f ca="1">IFERROR(V84-TODAY(),"")</f>
        <v>-46093</v>
      </c>
      <c r="X84" s="65"/>
      <c r="Y84" s="65"/>
      <c r="Z84" s="67"/>
      <c r="AA84" s="67"/>
      <c r="AB84" s="67"/>
      <c r="AC84" s="67"/>
      <c r="AD84" s="67"/>
      <c r="AE84" s="67"/>
      <c r="AF84" s="66"/>
      <c r="AG84" s="66"/>
      <c r="AH84" s="69"/>
      <c r="AI84" s="69"/>
      <c r="AJ84" s="69"/>
      <c r="AK84" s="69"/>
      <c r="AL84" s="69"/>
      <c r="AM84" s="69"/>
      <c r="AN84" s="69"/>
      <c r="AO84" s="69"/>
      <c r="AP84" s="66"/>
      <c r="AQ84" s="64" t="str">
        <f ca="1">IF(ALL_02FEB2024[[#This Row],[Days to Contract End]]&lt;=90,"R",IF(AND(ALL_02FEB2024[[#This Row],[Days to Contract End]]&lt;180),"A","G"))</f>
        <v>R</v>
      </c>
      <c r="AR84" s="70"/>
      <c r="AS84" s="51"/>
      <c r="AT84" s="52"/>
      <c r="AU84" s="52"/>
    </row>
    <row r="85" spans="2:47" ht="45">
      <c r="B85" s="147" t="s">
        <v>118</v>
      </c>
      <c r="C85" s="71">
        <f>IFERROR(VLOOKUP(B85,'QB Consolidated Contacts'!$A$1:$F$333,6),"-")</f>
        <v>0</v>
      </c>
      <c r="D85" s="208" t="s">
        <v>113</v>
      </c>
      <c r="E85" s="62" t="s">
        <v>43</v>
      </c>
      <c r="F85" s="62" t="s">
        <v>44</v>
      </c>
      <c r="G85" s="62" t="s">
        <v>634</v>
      </c>
      <c r="H85" s="143" t="s">
        <v>45</v>
      </c>
      <c r="I85" s="54" t="s">
        <v>39</v>
      </c>
      <c r="J85" s="54"/>
      <c r="K85" s="54" t="s">
        <v>315</v>
      </c>
      <c r="L85" s="31" t="s">
        <v>51</v>
      </c>
      <c r="M85" s="31"/>
      <c r="N85" s="31"/>
      <c r="O85" s="55"/>
      <c r="P85" s="55"/>
      <c r="Q85" s="77"/>
      <c r="R85" s="77"/>
      <c r="S85" s="56"/>
      <c r="T85" s="63">
        <v>44732</v>
      </c>
      <c r="U85" s="64" t="s">
        <v>46</v>
      </c>
      <c r="V85" s="63" t="str">
        <f t="shared" si="7"/>
        <v/>
      </c>
      <c r="W85" s="64" t="str">
        <f t="shared" ca="1" si="4"/>
        <v/>
      </c>
      <c r="X85" s="65" t="s">
        <v>39</v>
      </c>
      <c r="Y85" s="65"/>
      <c r="Z85" s="67"/>
      <c r="AA85" s="67" t="s">
        <v>47</v>
      </c>
      <c r="AB85" s="67"/>
      <c r="AC85" s="67"/>
      <c r="AD85" s="67"/>
      <c r="AE85" s="67"/>
      <c r="AF85" s="66"/>
      <c r="AG85" s="66"/>
      <c r="AH85" s="69"/>
      <c r="AI85" s="69"/>
      <c r="AJ85" s="69"/>
      <c r="AK85" s="69"/>
      <c r="AL85" s="69"/>
      <c r="AM85" s="69"/>
      <c r="AN85" s="69"/>
      <c r="AO85" s="69"/>
      <c r="AP85" s="66" t="s">
        <v>49</v>
      </c>
      <c r="AQ85" s="64" t="str">
        <f ca="1">IF(ALL_02FEB2024[[#This Row],[Days to Contract End]]&lt;=90,"R",IF(AND(ALL_02FEB2024[[#This Row],[Days to Contract End]]&lt;180),"A","G"))</f>
        <v>G</v>
      </c>
      <c r="AR85" s="70"/>
      <c r="AS85" s="51"/>
      <c r="AT85" s="52"/>
      <c r="AU85" s="52"/>
    </row>
    <row r="86" spans="2:47" ht="45">
      <c r="B86" s="147" t="s">
        <v>118</v>
      </c>
      <c r="C86" s="71">
        <f>IFERROR(VLOOKUP(B86,'QB Consolidated Contacts'!$A$1:$F$333,6),"-")</f>
        <v>0</v>
      </c>
      <c r="D86" s="208" t="s">
        <v>113</v>
      </c>
      <c r="E86" s="62" t="s">
        <v>66</v>
      </c>
      <c r="F86" s="62" t="s">
        <v>44</v>
      </c>
      <c r="G86" s="62" t="s">
        <v>634</v>
      </c>
      <c r="H86" s="143" t="s">
        <v>78</v>
      </c>
      <c r="I86" s="54" t="s">
        <v>39</v>
      </c>
      <c r="J86" s="54"/>
      <c r="K86" s="54" t="s">
        <v>315</v>
      </c>
      <c r="L86" s="31" t="s">
        <v>51</v>
      </c>
      <c r="M86" s="31"/>
      <c r="N86" s="31"/>
      <c r="O86" s="55"/>
      <c r="P86" s="55"/>
      <c r="Q86" s="77"/>
      <c r="R86" s="77"/>
      <c r="S86" s="56"/>
      <c r="T86" s="63">
        <v>44749</v>
      </c>
      <c r="U86" s="64">
        <v>24</v>
      </c>
      <c r="V86" s="63">
        <f t="shared" si="7"/>
        <v>45480</v>
      </c>
      <c r="W86" s="64">
        <f t="shared" ca="1" si="4"/>
        <v>-613</v>
      </c>
      <c r="X86" s="65"/>
      <c r="Y86" s="65"/>
      <c r="Z86" s="67"/>
      <c r="AA86" s="67"/>
      <c r="AB86" s="67"/>
      <c r="AC86" s="67"/>
      <c r="AD86" s="67"/>
      <c r="AE86" s="67"/>
      <c r="AF86" s="66"/>
      <c r="AG86" s="66"/>
      <c r="AH86" s="69"/>
      <c r="AI86" s="69"/>
      <c r="AJ86" s="69"/>
      <c r="AK86" s="69"/>
      <c r="AL86" s="69"/>
      <c r="AM86" s="69"/>
      <c r="AN86" s="69"/>
      <c r="AO86" s="69"/>
      <c r="AP86" s="66"/>
      <c r="AQ86" s="65" t="str">
        <f ca="1">IF(ALL_02FEB2024[[#This Row],[Days to Contract End]]&lt;=90,"R",IF(AND(ALL_02FEB2024[[#This Row],[Days to Contract End]]&lt;180),"A","G"))</f>
        <v>R</v>
      </c>
      <c r="AR86" s="70"/>
      <c r="AS86" s="51"/>
      <c r="AT86" s="52"/>
      <c r="AU86" s="52"/>
    </row>
    <row r="87" spans="2:47" ht="45">
      <c r="B87" s="147" t="s">
        <v>118</v>
      </c>
      <c r="C87" s="71">
        <f>IFERROR(VLOOKUP(B87,'QB Consolidated Contacts'!$A$1:$F$333,6),"-")</f>
        <v>0</v>
      </c>
      <c r="D87" s="208" t="s">
        <v>132</v>
      </c>
      <c r="E87" s="62" t="s">
        <v>158</v>
      </c>
      <c r="F87" s="62" t="s">
        <v>288</v>
      </c>
      <c r="G87" s="62" t="s">
        <v>634</v>
      </c>
      <c r="H87" s="142" t="s">
        <v>434</v>
      </c>
      <c r="I87" s="54" t="s">
        <v>39</v>
      </c>
      <c r="J87" s="54" t="s">
        <v>39</v>
      </c>
      <c r="K87" s="54" t="s">
        <v>315</v>
      </c>
      <c r="L87" s="31" t="s">
        <v>51</v>
      </c>
      <c r="M87" s="31"/>
      <c r="N87" s="31"/>
      <c r="O87" s="55"/>
      <c r="P87" s="55"/>
      <c r="Q87" s="77"/>
      <c r="R87" s="77"/>
      <c r="S87" s="56"/>
      <c r="T87" s="63">
        <v>45078</v>
      </c>
      <c r="U87" s="64">
        <v>12</v>
      </c>
      <c r="V87" s="63">
        <f t="shared" ref="V87" si="8">IFERROR(EDATE(T87,U87),"")</f>
        <v>45444</v>
      </c>
      <c r="W87" s="64">
        <f ca="1">IFERROR(V87-TODAY(),"")</f>
        <v>-649</v>
      </c>
      <c r="X87" s="65"/>
      <c r="Y87" s="65"/>
      <c r="Z87" s="67"/>
      <c r="AA87" s="67"/>
      <c r="AB87" s="67"/>
      <c r="AC87" s="67"/>
      <c r="AD87" s="67"/>
      <c r="AE87" s="67"/>
      <c r="AF87" s="66"/>
      <c r="AG87" s="66"/>
      <c r="AH87" s="69"/>
      <c r="AI87" s="69"/>
      <c r="AJ87" s="69"/>
      <c r="AK87" s="69"/>
      <c r="AL87" s="69"/>
      <c r="AM87" s="69"/>
      <c r="AN87" s="69"/>
      <c r="AO87" s="69"/>
      <c r="AP87" s="66"/>
      <c r="AQ87" s="64" t="str">
        <f ca="1">IF(ALL_02FEB2024[[#This Row],[Days to Contract End]]&lt;=90,"R",IF(AND(ALL_02FEB2024[[#This Row],[Days to Contract End]]&lt;180),"A","G"))</f>
        <v>R</v>
      </c>
      <c r="AR87" s="70"/>
      <c r="AS87" s="51"/>
      <c r="AT87" s="52"/>
      <c r="AU87" s="52"/>
    </row>
    <row r="88" spans="2:47" ht="45">
      <c r="B88" s="147" t="s">
        <v>118</v>
      </c>
      <c r="C88" s="71">
        <f>IFERROR(VLOOKUP(B88,'QB Consolidated Contacts'!$A$1:$F$333,6),"-")</f>
        <v>0</v>
      </c>
      <c r="D88" s="208" t="s">
        <v>132</v>
      </c>
      <c r="E88" s="62" t="s">
        <v>158</v>
      </c>
      <c r="F88" s="62" t="s">
        <v>435</v>
      </c>
      <c r="G88" s="62" t="s">
        <v>634</v>
      </c>
      <c r="H88" s="142" t="s">
        <v>436</v>
      </c>
      <c r="I88" s="54" t="s">
        <v>39</v>
      </c>
      <c r="J88" s="54" t="s">
        <v>39</v>
      </c>
      <c r="K88" s="54" t="s">
        <v>315</v>
      </c>
      <c r="L88" s="31" t="s">
        <v>51</v>
      </c>
      <c r="M88" s="31"/>
      <c r="N88" s="31"/>
      <c r="O88" s="55" t="s">
        <v>290</v>
      </c>
      <c r="P88" s="55"/>
      <c r="Q88" s="77"/>
      <c r="R88" s="77"/>
      <c r="S88" s="56" t="s">
        <v>437</v>
      </c>
      <c r="T88" s="63">
        <v>45078</v>
      </c>
      <c r="U88" s="64">
        <v>12</v>
      </c>
      <c r="V88" s="63">
        <f t="shared" si="7"/>
        <v>45444</v>
      </c>
      <c r="W88" s="64">
        <f t="shared" ca="1" si="4"/>
        <v>-649</v>
      </c>
      <c r="X88" s="65"/>
      <c r="Y88" s="65"/>
      <c r="Z88" s="67"/>
      <c r="AA88" s="67"/>
      <c r="AB88" s="67"/>
      <c r="AC88" s="67"/>
      <c r="AD88" s="67"/>
      <c r="AE88" s="67"/>
      <c r="AF88" s="66"/>
      <c r="AG88" s="66"/>
      <c r="AH88" s="69"/>
      <c r="AI88" s="69"/>
      <c r="AJ88" s="69"/>
      <c r="AK88" s="69"/>
      <c r="AL88" s="69"/>
      <c r="AM88" s="69"/>
      <c r="AN88" s="69"/>
      <c r="AO88" s="69"/>
      <c r="AP88" s="66"/>
      <c r="AQ88" s="65" t="str">
        <f ca="1">IF(ALL_02FEB2024[[#This Row],[Days to Contract End]]&lt;=90,"R",IF(AND(ALL_02FEB2024[[#This Row],[Days to Contract End]]&lt;180),"A","G"))</f>
        <v>R</v>
      </c>
      <c r="AR88" s="70" t="s">
        <v>431</v>
      </c>
      <c r="AS88" s="51"/>
      <c r="AT88" s="52"/>
      <c r="AU88" s="52"/>
    </row>
    <row r="89" spans="2:47">
      <c r="B89" s="147" t="s">
        <v>119</v>
      </c>
      <c r="C89" s="71">
        <f>IFERROR(VLOOKUP(B89,'QB Consolidated Contacts'!$A$1:$F$333,6),"-")</f>
        <v>0</v>
      </c>
      <c r="D89" s="208"/>
      <c r="E89" s="62" t="s">
        <v>43</v>
      </c>
      <c r="F89" s="62" t="s">
        <v>44</v>
      </c>
      <c r="G89" s="62"/>
      <c r="H89" s="142" t="s">
        <v>45</v>
      </c>
      <c r="I89" s="54" t="s">
        <v>39</v>
      </c>
      <c r="J89" s="54" t="s">
        <v>39</v>
      </c>
      <c r="K89" s="54" t="s">
        <v>315</v>
      </c>
      <c r="L89" s="31" t="s">
        <v>42</v>
      </c>
      <c r="M89" s="31"/>
      <c r="N89" s="31"/>
      <c r="O89" s="55"/>
      <c r="P89" s="55"/>
      <c r="Q89" s="77"/>
      <c r="R89" s="77"/>
      <c r="S89" s="56"/>
      <c r="T89" s="63">
        <v>45016</v>
      </c>
      <c r="U89" s="64" t="s">
        <v>46</v>
      </c>
      <c r="V89" s="63" t="str">
        <f t="shared" si="7"/>
        <v/>
      </c>
      <c r="W89" s="65" t="str">
        <f t="shared" ca="1" si="4"/>
        <v/>
      </c>
      <c r="X89" s="65"/>
      <c r="Y89" s="65"/>
      <c r="Z89" s="67"/>
      <c r="AA89" s="67"/>
      <c r="AB89" s="67"/>
      <c r="AC89" s="67"/>
      <c r="AD89" s="67"/>
      <c r="AE89" s="67"/>
      <c r="AF89" s="66"/>
      <c r="AG89" s="66"/>
      <c r="AH89" s="69"/>
      <c r="AI89" s="69"/>
      <c r="AJ89" s="69"/>
      <c r="AK89" s="69"/>
      <c r="AL89" s="69"/>
      <c r="AM89" s="69"/>
      <c r="AN89" s="69"/>
      <c r="AO89" s="69"/>
      <c r="AP89" s="66"/>
      <c r="AQ89" s="65" t="str">
        <f ca="1">IF(ALL_02FEB2024[[#This Row],[Days to Contract End]]&lt;=90,"R",IF(AND(ALL_02FEB2024[[#This Row],[Days to Contract End]]&lt;180),"A","G"))</f>
        <v>G</v>
      </c>
      <c r="AR89" s="70"/>
      <c r="AS89" s="51"/>
      <c r="AT89" s="52"/>
      <c r="AU89" s="52"/>
    </row>
    <row r="90" spans="2:47" ht="30">
      <c r="B90" s="147" t="s">
        <v>119</v>
      </c>
      <c r="C90" s="71">
        <f>IFERROR(VLOOKUP(B90,'QB Consolidated Contacts'!$A$1:$F$333,6),"-")</f>
        <v>0</v>
      </c>
      <c r="D90" s="208" t="s">
        <v>132</v>
      </c>
      <c r="E90" s="62" t="s">
        <v>158</v>
      </c>
      <c r="F90" s="62" t="s">
        <v>175</v>
      </c>
      <c r="G90" s="62"/>
      <c r="H90" s="142" t="s">
        <v>638</v>
      </c>
      <c r="I90" s="54" t="s">
        <v>39</v>
      </c>
      <c r="J90" s="54"/>
      <c r="K90" s="54" t="s">
        <v>315</v>
      </c>
      <c r="L90" s="31" t="s">
        <v>42</v>
      </c>
      <c r="M90" s="31"/>
      <c r="N90" s="31"/>
      <c r="O90" s="55" t="s">
        <v>290</v>
      </c>
      <c r="P90" s="55" t="s">
        <v>439</v>
      </c>
      <c r="Q90" s="77"/>
      <c r="R90" s="77">
        <v>94775</v>
      </c>
      <c r="S90" s="56">
        <v>477</v>
      </c>
      <c r="T90" s="63">
        <v>45031</v>
      </c>
      <c r="U90" s="64" t="s">
        <v>282</v>
      </c>
      <c r="V90" s="63" t="str">
        <f t="shared" si="7"/>
        <v/>
      </c>
      <c r="W90" s="64" t="str">
        <f t="shared" ca="1" si="4"/>
        <v/>
      </c>
      <c r="X90" s="65"/>
      <c r="Y90" s="65"/>
      <c r="Z90" s="67"/>
      <c r="AA90" s="67"/>
      <c r="AB90" s="67"/>
      <c r="AC90" s="67"/>
      <c r="AD90" s="67"/>
      <c r="AE90" s="67"/>
      <c r="AF90" s="66"/>
      <c r="AG90" s="66"/>
      <c r="AH90" s="69"/>
      <c r="AI90" s="69"/>
      <c r="AJ90" s="69"/>
      <c r="AK90" s="69"/>
      <c r="AL90" s="69"/>
      <c r="AM90" s="69"/>
      <c r="AN90" s="69"/>
      <c r="AO90" s="69"/>
      <c r="AP90" s="66"/>
      <c r="AQ90" s="65" t="str">
        <f ca="1">IF(ALL_02FEB2024[[#This Row],[Days to Contract End]]&lt;=90,"R",IF(AND(ALL_02FEB2024[[#This Row],[Days to Contract End]]&lt;180),"A","G"))</f>
        <v>G</v>
      </c>
      <c r="AR90" s="70"/>
      <c r="AS90" s="51"/>
      <c r="AT90" s="52"/>
      <c r="AU90" s="52"/>
    </row>
    <row r="91" spans="2:47" ht="45">
      <c r="B91" s="147" t="s">
        <v>120</v>
      </c>
      <c r="C91" s="71">
        <f>IFERROR(VLOOKUP(B91,'QB Consolidated Contacts'!$A$1:$F$333,6),"-")</f>
        <v>0</v>
      </c>
      <c r="D91" s="208"/>
      <c r="E91" s="62" t="s">
        <v>43</v>
      </c>
      <c r="F91" s="62" t="s">
        <v>44</v>
      </c>
      <c r="G91" s="62"/>
      <c r="H91" s="143" t="s">
        <v>121</v>
      </c>
      <c r="I91" s="54" t="s">
        <v>39</v>
      </c>
      <c r="J91" s="54"/>
      <c r="K91" s="54" t="s">
        <v>315</v>
      </c>
      <c r="L91" s="31" t="s">
        <v>42</v>
      </c>
      <c r="M91" s="31" t="s">
        <v>40</v>
      </c>
      <c r="N91" s="31" t="s">
        <v>48</v>
      </c>
      <c r="O91" s="55" t="s">
        <v>441</v>
      </c>
      <c r="P91" s="55"/>
      <c r="Q91" s="77" t="s">
        <v>48</v>
      </c>
      <c r="R91" s="77" t="s">
        <v>48</v>
      </c>
      <c r="S91" s="56" t="s">
        <v>48</v>
      </c>
      <c r="T91" s="63">
        <v>43269</v>
      </c>
      <c r="U91" s="64" t="s">
        <v>46</v>
      </c>
      <c r="V91" s="63" t="str">
        <f t="shared" si="7"/>
        <v/>
      </c>
      <c r="W91" s="64" t="str">
        <f t="shared" ca="1" si="4"/>
        <v/>
      </c>
      <c r="X91" s="65"/>
      <c r="Y91" s="65"/>
      <c r="Z91" s="67"/>
      <c r="AA91" s="67"/>
      <c r="AB91" s="67"/>
      <c r="AC91" s="67"/>
      <c r="AD91" s="67"/>
      <c r="AE91" s="67"/>
      <c r="AF91" s="66"/>
      <c r="AG91" s="66"/>
      <c r="AH91" s="69"/>
      <c r="AI91" s="69"/>
      <c r="AJ91" s="69"/>
      <c r="AK91" s="69"/>
      <c r="AL91" s="69"/>
      <c r="AM91" s="69"/>
      <c r="AN91" s="69"/>
      <c r="AO91" s="69"/>
      <c r="AP91" s="66"/>
      <c r="AQ91" s="65" t="str">
        <f ca="1">IF(ALL_02FEB2024[[#This Row],[Days to Contract End]]&lt;=90,"R",IF(AND(ALL_02FEB2024[[#This Row],[Days to Contract End]]&lt;180),"A","G"))</f>
        <v>G</v>
      </c>
      <c r="AR91" s="113" t="s">
        <v>122</v>
      </c>
      <c r="AS91" s="51"/>
      <c r="AT91" s="52"/>
      <c r="AU91" s="52"/>
    </row>
    <row r="92" spans="2:47" ht="30">
      <c r="B92" s="147" t="s">
        <v>120</v>
      </c>
      <c r="C92" s="71">
        <f>IFERROR(VLOOKUP(B92,'QB Consolidated Contacts'!$A$1:$F$333,6),"-")</f>
        <v>0</v>
      </c>
      <c r="D92" s="208" t="s">
        <v>132</v>
      </c>
      <c r="E92" s="62" t="s">
        <v>158</v>
      </c>
      <c r="F92" s="62" t="s">
        <v>175</v>
      </c>
      <c r="G92" s="62"/>
      <c r="H92" s="143" t="s">
        <v>440</v>
      </c>
      <c r="I92" s="54" t="s">
        <v>40</v>
      </c>
      <c r="J92" s="54"/>
      <c r="K92" s="54" t="s">
        <v>315</v>
      </c>
      <c r="L92" s="31" t="s">
        <v>42</v>
      </c>
      <c r="M92" s="31" t="s">
        <v>40</v>
      </c>
      <c r="N92" s="31" t="s">
        <v>48</v>
      </c>
      <c r="O92" s="55" t="s">
        <v>441</v>
      </c>
      <c r="P92" s="55"/>
      <c r="Q92" s="77" t="s">
        <v>48</v>
      </c>
      <c r="R92" s="77" t="s">
        <v>48</v>
      </c>
      <c r="S92" s="56" t="s">
        <v>48</v>
      </c>
      <c r="T92" s="63">
        <v>44662</v>
      </c>
      <c r="U92" s="64">
        <v>6</v>
      </c>
      <c r="V92" s="63">
        <f t="shared" si="7"/>
        <v>44845</v>
      </c>
      <c r="W92" s="65">
        <f t="shared" ca="1" si="4"/>
        <v>-1248</v>
      </c>
      <c r="X92" s="65"/>
      <c r="Y92" s="65"/>
      <c r="Z92" s="67" t="s">
        <v>48</v>
      </c>
      <c r="AA92" s="67" t="s">
        <v>48</v>
      </c>
      <c r="AB92" s="67"/>
      <c r="AC92" s="67"/>
      <c r="AD92" s="67" t="s">
        <v>48</v>
      </c>
      <c r="AE92" s="67"/>
      <c r="AF92" s="66" t="s">
        <v>48</v>
      </c>
      <c r="AG92" s="66" t="s">
        <v>48</v>
      </c>
      <c r="AH92" s="69"/>
      <c r="AI92" s="69"/>
      <c r="AJ92" s="69"/>
      <c r="AK92" s="69"/>
      <c r="AL92" s="69"/>
      <c r="AM92" s="69"/>
      <c r="AN92" s="69"/>
      <c r="AO92" s="69"/>
      <c r="AP92" s="66" t="s">
        <v>48</v>
      </c>
      <c r="AQ92" s="65" t="str">
        <f ca="1">IF(ALL_02FEB2024[[#This Row],[Days to Contract End]]&lt;=90,"R",IF(AND(ALL_02FEB2024[[#This Row],[Days to Contract End]]&lt;180),"A","G"))</f>
        <v>R</v>
      </c>
      <c r="AR92" s="70" t="s">
        <v>442</v>
      </c>
      <c r="AS92" s="51"/>
      <c r="AT92" s="52"/>
      <c r="AU92" s="52"/>
    </row>
    <row r="93" spans="2:47">
      <c r="B93" s="147" t="s">
        <v>123</v>
      </c>
      <c r="C93" s="71">
        <f>IFERROR(VLOOKUP(B93,'QB Consolidated Contacts'!$A$1:$F$333,6),"-")</f>
        <v>0</v>
      </c>
      <c r="D93" s="208"/>
      <c r="E93" s="62" t="s">
        <v>124</v>
      </c>
      <c r="F93" s="62" t="s">
        <v>44</v>
      </c>
      <c r="G93" s="62"/>
      <c r="H93" s="143" t="s">
        <v>125</v>
      </c>
      <c r="I93" s="54" t="s">
        <v>39</v>
      </c>
      <c r="J93" s="54"/>
      <c r="K93" s="54"/>
      <c r="L93" s="31" t="s">
        <v>42</v>
      </c>
      <c r="M93" s="31"/>
      <c r="N93" s="31"/>
      <c r="O93" s="55" t="s">
        <v>48</v>
      </c>
      <c r="P93" s="55"/>
      <c r="Q93" s="77"/>
      <c r="R93" s="77"/>
      <c r="S93" s="56"/>
      <c r="T93" s="63">
        <v>44301</v>
      </c>
      <c r="U93" s="64">
        <v>12</v>
      </c>
      <c r="V93" s="63">
        <f t="shared" si="7"/>
        <v>44666</v>
      </c>
      <c r="W93" s="64">
        <f t="shared" ca="1" si="4"/>
        <v>-1427</v>
      </c>
      <c r="X93" s="65"/>
      <c r="Y93" s="65"/>
      <c r="Z93" s="67"/>
      <c r="AA93" s="67"/>
      <c r="AB93" s="67"/>
      <c r="AC93" s="67"/>
      <c r="AD93" s="67"/>
      <c r="AE93" s="67"/>
      <c r="AF93" s="66"/>
      <c r="AG93" s="66"/>
      <c r="AH93" s="69"/>
      <c r="AI93" s="69"/>
      <c r="AJ93" s="69"/>
      <c r="AK93" s="69"/>
      <c r="AL93" s="69"/>
      <c r="AM93" s="69"/>
      <c r="AN93" s="69"/>
      <c r="AO93" s="69"/>
      <c r="AP93" s="66"/>
      <c r="AQ93" s="65" t="str">
        <f ca="1">IF(ALL_02FEB2024[[#This Row],[Days to Contract End]]&lt;=90,"R",IF(AND(ALL_02FEB2024[[#This Row],[Days to Contract End]]&lt;180),"A","G"))</f>
        <v>R</v>
      </c>
      <c r="AR93" s="70"/>
      <c r="AS93" s="51"/>
      <c r="AT93" s="52"/>
      <c r="AU93" s="52"/>
    </row>
    <row r="94" spans="2:47" ht="30">
      <c r="B94" s="147" t="s">
        <v>123</v>
      </c>
      <c r="C94" s="71">
        <f>IFERROR(VLOOKUP(B94,'QB Consolidated Contacts'!$A$1:$F$333,6),"-")</f>
        <v>0</v>
      </c>
      <c r="D94" s="208" t="s">
        <v>132</v>
      </c>
      <c r="E94" s="62" t="s">
        <v>158</v>
      </c>
      <c r="F94" s="62" t="s">
        <v>175</v>
      </c>
      <c r="G94" s="62"/>
      <c r="H94" s="143" t="s">
        <v>443</v>
      </c>
      <c r="I94" s="54" t="s">
        <v>40</v>
      </c>
      <c r="J94" s="54"/>
      <c r="K94" s="54" t="s">
        <v>108</v>
      </c>
      <c r="L94" s="31" t="s">
        <v>42</v>
      </c>
      <c r="M94" s="31"/>
      <c r="N94" s="31"/>
      <c r="O94" s="55" t="s">
        <v>441</v>
      </c>
      <c r="P94" s="55"/>
      <c r="Q94" s="77"/>
      <c r="R94" s="77"/>
      <c r="S94" s="56">
        <f>20+24+24+16+88+32+108+28+104+56</f>
        <v>500</v>
      </c>
      <c r="T94" s="63">
        <v>44256</v>
      </c>
      <c r="U94" s="64" t="s">
        <v>282</v>
      </c>
      <c r="V94" s="63" t="str">
        <f t="shared" si="7"/>
        <v/>
      </c>
      <c r="W94" s="65" t="str">
        <f t="shared" ca="1" si="4"/>
        <v/>
      </c>
      <c r="X94" s="65" t="s">
        <v>40</v>
      </c>
      <c r="Y94" s="65"/>
      <c r="Z94" s="67"/>
      <c r="AA94" s="67"/>
      <c r="AB94" s="67"/>
      <c r="AC94" s="67"/>
      <c r="AD94" s="67"/>
      <c r="AE94" s="67"/>
      <c r="AF94" s="66"/>
      <c r="AG94" s="66"/>
      <c r="AH94" s="69"/>
      <c r="AI94" s="69"/>
      <c r="AJ94" s="69"/>
      <c r="AK94" s="69"/>
      <c r="AL94" s="69"/>
      <c r="AM94" s="69"/>
      <c r="AN94" s="69"/>
      <c r="AO94" s="69"/>
      <c r="AP94" s="66"/>
      <c r="AQ94" s="65" t="str">
        <f ca="1">IF(ALL_02FEB2024[[#This Row],[Days to Contract End]]&lt;=90,"R",IF(AND(ALL_02FEB2024[[#This Row],[Days to Contract End]]&lt;180),"A","G"))</f>
        <v>G</v>
      </c>
      <c r="AR94" s="70"/>
      <c r="AS94" s="51"/>
      <c r="AT94" s="52"/>
      <c r="AU94" s="52"/>
    </row>
    <row r="95" spans="2:47">
      <c r="B95" s="147" t="s">
        <v>126</v>
      </c>
      <c r="C95" s="71">
        <f>IFERROR(VLOOKUP(B95,'QB Consolidated Contacts'!$A$1:$F$333,6),"-")</f>
        <v>0</v>
      </c>
      <c r="D95" s="208"/>
      <c r="E95" s="62" t="s">
        <v>43</v>
      </c>
      <c r="F95" s="62" t="s">
        <v>44</v>
      </c>
      <c r="G95" s="62"/>
      <c r="H95" s="142" t="s">
        <v>45</v>
      </c>
      <c r="I95" s="54" t="s">
        <v>39</v>
      </c>
      <c r="J95" s="54" t="s">
        <v>40</v>
      </c>
      <c r="K95" s="54" t="s">
        <v>315</v>
      </c>
      <c r="L95" s="31" t="s">
        <v>42</v>
      </c>
      <c r="M95" s="31"/>
      <c r="N95" s="31"/>
      <c r="O95" s="55" t="s">
        <v>48</v>
      </c>
      <c r="P95" s="55" t="s">
        <v>439</v>
      </c>
      <c r="Q95" s="77"/>
      <c r="R95" s="77"/>
      <c r="S95" s="56"/>
      <c r="T95" s="63">
        <v>43301</v>
      </c>
      <c r="U95" s="64" t="s">
        <v>46</v>
      </c>
      <c r="V95" s="63" t="str">
        <f t="shared" si="7"/>
        <v/>
      </c>
      <c r="W95" s="64" t="str">
        <f t="shared" ref="W95:W137" ca="1" si="9">IFERROR(V95-TODAY(),"")</f>
        <v/>
      </c>
      <c r="X95" s="65"/>
      <c r="Y95" s="65"/>
      <c r="Z95" s="67"/>
      <c r="AA95" s="67"/>
      <c r="AB95" s="67"/>
      <c r="AC95" s="67"/>
      <c r="AD95" s="67"/>
      <c r="AE95" s="67"/>
      <c r="AF95" s="66"/>
      <c r="AG95" s="66"/>
      <c r="AH95" s="69"/>
      <c r="AI95" s="69"/>
      <c r="AJ95" s="69"/>
      <c r="AK95" s="69"/>
      <c r="AL95" s="69"/>
      <c r="AM95" s="69"/>
      <c r="AN95" s="69"/>
      <c r="AO95" s="69"/>
      <c r="AP95" s="66"/>
      <c r="AQ95" s="65" t="str">
        <f ca="1">IF(ALL_02FEB2024[[#This Row],[Days to Contract End]]&lt;=90,"R",IF(AND(ALL_02FEB2024[[#This Row],[Days to Contract End]]&lt;180),"A","G"))</f>
        <v>G</v>
      </c>
      <c r="AR95" s="70"/>
      <c r="AS95" s="51"/>
      <c r="AT95" s="52"/>
      <c r="AU95" s="52"/>
    </row>
    <row r="96" spans="2:47" ht="30">
      <c r="B96" s="147" t="s">
        <v>126</v>
      </c>
      <c r="C96" s="71">
        <f>IFERROR(VLOOKUP(B96,'QB Consolidated Contacts'!$A$1:$F$333,6),"-")</f>
        <v>0</v>
      </c>
      <c r="D96" s="208" t="s">
        <v>132</v>
      </c>
      <c r="E96" s="62" t="s">
        <v>158</v>
      </c>
      <c r="F96" s="62" t="s">
        <v>288</v>
      </c>
      <c r="G96" s="62" t="s">
        <v>634</v>
      </c>
      <c r="H96" s="142" t="s">
        <v>446</v>
      </c>
      <c r="I96" s="54" t="s">
        <v>39</v>
      </c>
      <c r="J96" s="54" t="s">
        <v>39</v>
      </c>
      <c r="K96" s="54" t="s">
        <v>315</v>
      </c>
      <c r="L96" s="31" t="s">
        <v>51</v>
      </c>
      <c r="M96" s="31" t="s">
        <v>39</v>
      </c>
      <c r="N96" s="31">
        <v>81151</v>
      </c>
      <c r="O96" s="55" t="s">
        <v>290</v>
      </c>
      <c r="P96" s="55"/>
      <c r="Q96" s="77"/>
      <c r="R96" s="77"/>
      <c r="S96" s="56">
        <v>124</v>
      </c>
      <c r="T96" s="63">
        <v>45140</v>
      </c>
      <c r="U96" s="64" t="s">
        <v>46</v>
      </c>
      <c r="V96" s="63" t="str">
        <f t="shared" si="7"/>
        <v/>
      </c>
      <c r="W96" s="65" t="str">
        <f t="shared" ca="1" si="9"/>
        <v/>
      </c>
      <c r="X96" s="65"/>
      <c r="Y96" s="65"/>
      <c r="Z96" s="67" t="s">
        <v>48</v>
      </c>
      <c r="AA96" s="67" t="s">
        <v>48</v>
      </c>
      <c r="AB96" s="67"/>
      <c r="AC96" s="67"/>
      <c r="AD96" s="67" t="s">
        <v>48</v>
      </c>
      <c r="AE96" s="67"/>
      <c r="AF96" s="66" t="s">
        <v>48</v>
      </c>
      <c r="AG96" s="66" t="s">
        <v>48</v>
      </c>
      <c r="AH96" s="69"/>
      <c r="AI96" s="69"/>
      <c r="AJ96" s="69"/>
      <c r="AK96" s="69"/>
      <c r="AL96" s="69"/>
      <c r="AM96" s="69"/>
      <c r="AN96" s="69"/>
      <c r="AO96" s="69"/>
      <c r="AP96" s="66" t="s">
        <v>48</v>
      </c>
      <c r="AQ96" s="65" t="str">
        <f ca="1">IF(ALL_02FEB2024[[#This Row],[Days to Contract End]]&lt;=90,"R",IF(AND(ALL_02FEB2024[[#This Row],[Days to Contract End]]&lt;180),"A","G"))</f>
        <v>G</v>
      </c>
      <c r="AR96" s="70" t="s">
        <v>447</v>
      </c>
      <c r="AS96" s="51"/>
      <c r="AT96" s="52"/>
      <c r="AU96" s="52"/>
    </row>
    <row r="97" spans="2:47" ht="30">
      <c r="B97" s="147" t="s">
        <v>126</v>
      </c>
      <c r="C97" s="71">
        <f>IFERROR(VLOOKUP(B97,'QB Consolidated Contacts'!$A$1:$F$333,6),"-")</f>
        <v>0</v>
      </c>
      <c r="D97" s="208" t="s">
        <v>132</v>
      </c>
      <c r="E97" s="62" t="s">
        <v>158</v>
      </c>
      <c r="F97" s="62" t="s">
        <v>288</v>
      </c>
      <c r="G97" s="62"/>
      <c r="H97" s="142" t="s">
        <v>451</v>
      </c>
      <c r="I97" s="54" t="s">
        <v>39</v>
      </c>
      <c r="J97" s="54"/>
      <c r="K97" s="54" t="s">
        <v>317</v>
      </c>
      <c r="L97" s="31"/>
      <c r="M97" s="31"/>
      <c r="N97" s="31"/>
      <c r="O97" s="55"/>
      <c r="P97" s="55"/>
      <c r="Q97" s="77"/>
      <c r="R97" s="77"/>
      <c r="S97" s="56"/>
      <c r="T97" s="63">
        <v>44053</v>
      </c>
      <c r="U97" s="64">
        <v>12</v>
      </c>
      <c r="V97" s="63">
        <f>IFERROR(EDATE(T97,U97),"")</f>
        <v>44418</v>
      </c>
      <c r="W97" s="64">
        <f ca="1">IFERROR(V97-TODAY(),"")</f>
        <v>-1675</v>
      </c>
      <c r="X97" s="65"/>
      <c r="Y97" s="65"/>
      <c r="Z97" s="67"/>
      <c r="AA97" s="67"/>
      <c r="AB97" s="67"/>
      <c r="AC97" s="67"/>
      <c r="AD97" s="67"/>
      <c r="AE97" s="67"/>
      <c r="AF97" s="66"/>
      <c r="AG97" s="66"/>
      <c r="AH97" s="69"/>
      <c r="AI97" s="69"/>
      <c r="AJ97" s="69"/>
      <c r="AK97" s="69"/>
      <c r="AL97" s="69"/>
      <c r="AM97" s="69"/>
      <c r="AN97" s="69"/>
      <c r="AO97" s="69"/>
      <c r="AP97" s="66"/>
      <c r="AQ97" s="64" t="str">
        <f ca="1">IF(ALL_02FEB2024[[#This Row],[Days to Contract End]]&lt;=90,"R",IF(AND(ALL_02FEB2024[[#This Row],[Days to Contract End]]&lt;180),"A","G"))</f>
        <v>R</v>
      </c>
      <c r="AR97" s="70"/>
      <c r="AS97" s="51"/>
      <c r="AT97" s="52"/>
      <c r="AU97" s="52"/>
    </row>
    <row r="98" spans="2:47" ht="30">
      <c r="B98" s="147" t="s">
        <v>126</v>
      </c>
      <c r="C98" s="71">
        <f>IFERROR(VLOOKUP(B98,'QB Consolidated Contacts'!$A$1:$F$333,6),"-")</f>
        <v>0</v>
      </c>
      <c r="D98" s="208" t="s">
        <v>132</v>
      </c>
      <c r="E98" s="62" t="s">
        <v>351</v>
      </c>
      <c r="F98" s="62" t="s">
        <v>449</v>
      </c>
      <c r="G98" s="62"/>
      <c r="H98" s="142" t="s">
        <v>450</v>
      </c>
      <c r="I98" s="54"/>
      <c r="J98" s="54"/>
      <c r="K98" s="54" t="s">
        <v>315</v>
      </c>
      <c r="L98" s="31" t="s">
        <v>51</v>
      </c>
      <c r="M98" s="31"/>
      <c r="N98" s="31"/>
      <c r="O98" s="55" t="s">
        <v>290</v>
      </c>
      <c r="P98" s="55" t="s">
        <v>439</v>
      </c>
      <c r="Q98" s="77"/>
      <c r="R98" s="77">
        <v>19600</v>
      </c>
      <c r="S98" s="56"/>
      <c r="T98" s="63">
        <v>45062</v>
      </c>
      <c r="U98" s="64" t="s">
        <v>282</v>
      </c>
      <c r="V98" s="63" t="str">
        <f>IFERROR(EDATE(T98,U98),"")</f>
        <v/>
      </c>
      <c r="W98" s="64" t="str">
        <f ca="1">IFERROR(V98-TODAY(),"")</f>
        <v/>
      </c>
      <c r="X98" s="65"/>
      <c r="Y98" s="65"/>
      <c r="Z98" s="67"/>
      <c r="AA98" s="67"/>
      <c r="AB98" s="67"/>
      <c r="AC98" s="67"/>
      <c r="AD98" s="67"/>
      <c r="AE98" s="67"/>
      <c r="AF98" s="66"/>
      <c r="AG98" s="66"/>
      <c r="AH98" s="69"/>
      <c r="AI98" s="69"/>
      <c r="AJ98" s="69"/>
      <c r="AK98" s="69"/>
      <c r="AL98" s="69"/>
      <c r="AM98" s="69"/>
      <c r="AN98" s="69"/>
      <c r="AO98" s="69"/>
      <c r="AP98" s="66"/>
      <c r="AQ98" s="64" t="str">
        <f ca="1">IF(ALL_02FEB2024[[#This Row],[Days to Contract End]]&lt;=90,"R",IF(AND(ALL_02FEB2024[[#This Row],[Days to Contract End]]&lt;180),"A","G"))</f>
        <v>G</v>
      </c>
      <c r="AR98" s="70"/>
      <c r="AS98" s="51"/>
      <c r="AT98" s="52"/>
      <c r="AU98" s="52"/>
    </row>
    <row r="99" spans="2:47" ht="30">
      <c r="B99" s="147" t="s">
        <v>126</v>
      </c>
      <c r="C99" s="71">
        <f>IFERROR(VLOOKUP(B99,'QB Consolidated Contacts'!$A$1:$F$333,6),"-")</f>
        <v>0</v>
      </c>
      <c r="D99" s="208" t="s">
        <v>132</v>
      </c>
      <c r="E99" s="62" t="s">
        <v>158</v>
      </c>
      <c r="F99" s="62" t="s">
        <v>288</v>
      </c>
      <c r="G99" s="62"/>
      <c r="H99" s="143" t="s">
        <v>448</v>
      </c>
      <c r="I99" s="54" t="s">
        <v>39</v>
      </c>
      <c r="J99" s="54"/>
      <c r="K99" s="54" t="s">
        <v>309</v>
      </c>
      <c r="L99" s="31" t="s">
        <v>51</v>
      </c>
      <c r="M99" s="31" t="s">
        <v>39</v>
      </c>
      <c r="N99" s="31"/>
      <c r="O99" s="55" t="s">
        <v>290</v>
      </c>
      <c r="P99" s="55" t="s">
        <v>439</v>
      </c>
      <c r="Q99" s="77"/>
      <c r="R99" s="77">
        <v>21700</v>
      </c>
      <c r="S99" s="56">
        <v>100</v>
      </c>
      <c r="T99" s="63">
        <v>44810</v>
      </c>
      <c r="U99" s="64" t="s">
        <v>282</v>
      </c>
      <c r="V99" s="63" t="str">
        <f t="shared" si="7"/>
        <v/>
      </c>
      <c r="W99" s="64" t="str">
        <f t="shared" ca="1" si="9"/>
        <v/>
      </c>
      <c r="X99" s="65" t="s">
        <v>40</v>
      </c>
      <c r="Y99" s="65"/>
      <c r="Z99" s="67"/>
      <c r="AA99" s="67"/>
      <c r="AB99" s="67"/>
      <c r="AC99" s="67"/>
      <c r="AD99" s="67"/>
      <c r="AE99" s="67"/>
      <c r="AF99" s="66"/>
      <c r="AG99" s="66"/>
      <c r="AH99" s="69"/>
      <c r="AI99" s="69"/>
      <c r="AJ99" s="69"/>
      <c r="AK99" s="69"/>
      <c r="AL99" s="69"/>
      <c r="AM99" s="69"/>
      <c r="AN99" s="69"/>
      <c r="AO99" s="69"/>
      <c r="AP99" s="66"/>
      <c r="AQ99" s="65" t="str">
        <f ca="1">IF(ALL_02FEB2024[[#This Row],[Days to Contract End]]&lt;=90,"R",IF(AND(ALL_02FEB2024[[#This Row],[Days to Contract End]]&lt;180),"A","G"))</f>
        <v>G</v>
      </c>
      <c r="AR99" s="70"/>
      <c r="AS99" s="51"/>
      <c r="AT99" s="52"/>
      <c r="AU99" s="52"/>
    </row>
    <row r="100" spans="2:47">
      <c r="B100" s="147" t="s">
        <v>127</v>
      </c>
      <c r="C100" s="71">
        <f>IFERROR(VLOOKUP(B100,'QB Consolidated Contacts'!$A$1:$F$333,6),"-")</f>
        <v>0</v>
      </c>
      <c r="D100" s="208"/>
      <c r="E100" s="62" t="s">
        <v>66</v>
      </c>
      <c r="F100" s="62" t="s">
        <v>44</v>
      </c>
      <c r="G100" s="62"/>
      <c r="H100" s="143" t="s">
        <v>78</v>
      </c>
      <c r="I100" s="54" t="s">
        <v>39</v>
      </c>
      <c r="J100" s="54"/>
      <c r="K100" s="54"/>
      <c r="L100" s="31"/>
      <c r="M100" s="31"/>
      <c r="N100" s="31"/>
      <c r="O100" s="55"/>
      <c r="P100" s="55"/>
      <c r="Q100" s="77"/>
      <c r="R100" s="77"/>
      <c r="S100" s="56"/>
      <c r="T100" s="63">
        <v>44299</v>
      </c>
      <c r="U100" s="64">
        <v>36</v>
      </c>
      <c r="V100" s="63">
        <f t="shared" si="7"/>
        <v>45395</v>
      </c>
      <c r="W100" s="64">
        <f t="shared" ca="1" si="9"/>
        <v>-698</v>
      </c>
      <c r="X100" s="65"/>
      <c r="Y100" s="65"/>
      <c r="Z100" s="67"/>
      <c r="AA100" s="67"/>
      <c r="AB100" s="67"/>
      <c r="AC100" s="67"/>
      <c r="AD100" s="67"/>
      <c r="AE100" s="67"/>
      <c r="AF100" s="66"/>
      <c r="AG100" s="66"/>
      <c r="AH100" s="69"/>
      <c r="AI100" s="69"/>
      <c r="AJ100" s="69"/>
      <c r="AK100" s="69"/>
      <c r="AL100" s="69"/>
      <c r="AM100" s="69"/>
      <c r="AN100" s="69"/>
      <c r="AO100" s="69"/>
      <c r="AP100" s="66"/>
      <c r="AQ100" s="65" t="str">
        <f ca="1">IF(ALL_02FEB2024[[#This Row],[Days to Contract End]]&lt;=90,"R",IF(AND(ALL_02FEB2024[[#This Row],[Days to Contract End]]&lt;180),"A","G"))</f>
        <v>R</v>
      </c>
      <c r="AR100" s="70"/>
      <c r="AS100" s="51"/>
      <c r="AT100" s="52"/>
      <c r="AU100" s="52"/>
    </row>
    <row r="101" spans="2:47" ht="30">
      <c r="B101" s="147" t="s">
        <v>127</v>
      </c>
      <c r="C101" s="71">
        <f>IFERROR(VLOOKUP(B101,'QB Consolidated Contacts'!$A$1:$F$333,6),"-")</f>
        <v>0</v>
      </c>
      <c r="D101" s="208"/>
      <c r="E101" s="62" t="s">
        <v>43</v>
      </c>
      <c r="F101" s="62" t="s">
        <v>44</v>
      </c>
      <c r="G101" s="62"/>
      <c r="H101" s="143" t="s">
        <v>45</v>
      </c>
      <c r="I101" s="54" t="s">
        <v>39</v>
      </c>
      <c r="J101" s="54"/>
      <c r="K101" s="54" t="s">
        <v>315</v>
      </c>
      <c r="L101" s="31" t="s">
        <v>51</v>
      </c>
      <c r="M101" s="31"/>
      <c r="N101" s="31"/>
      <c r="O101" s="55"/>
      <c r="P101" s="55"/>
      <c r="Q101" s="77"/>
      <c r="R101" s="77"/>
      <c r="S101" s="56"/>
      <c r="T101" s="63">
        <v>44326</v>
      </c>
      <c r="U101" s="64">
        <v>12</v>
      </c>
      <c r="V101" s="63">
        <f t="shared" si="7"/>
        <v>44691</v>
      </c>
      <c r="W101" s="65">
        <f t="shared" ca="1" si="9"/>
        <v>-1402</v>
      </c>
      <c r="X101" s="65"/>
      <c r="Y101" s="65"/>
      <c r="Z101" s="67"/>
      <c r="AA101" s="67"/>
      <c r="AB101" s="67"/>
      <c r="AC101" s="67"/>
      <c r="AD101" s="67"/>
      <c r="AE101" s="67"/>
      <c r="AF101" s="66"/>
      <c r="AG101" s="66"/>
      <c r="AH101" s="69"/>
      <c r="AI101" s="69"/>
      <c r="AJ101" s="69"/>
      <c r="AK101" s="69"/>
      <c r="AL101" s="69"/>
      <c r="AM101" s="69"/>
      <c r="AN101" s="69"/>
      <c r="AO101" s="69"/>
      <c r="AP101" s="66"/>
      <c r="AQ101" s="65" t="str">
        <f ca="1">IF(ALL_02FEB2024[[#This Row],[Days to Contract End]]&lt;=90,"R",IF(AND(ALL_02FEB2024[[#This Row],[Days to Contract End]]&lt;180),"A","G"))</f>
        <v>R</v>
      </c>
      <c r="AR101" s="70" t="s">
        <v>130</v>
      </c>
      <c r="AS101" s="51"/>
      <c r="AT101" s="52"/>
      <c r="AU101" s="52"/>
    </row>
    <row r="102" spans="2:47" ht="30">
      <c r="B102" s="156" t="s">
        <v>131</v>
      </c>
      <c r="C102" s="134">
        <f>IFERROR(VLOOKUP(B102,'QB Consolidated Contacts'!$A$1:$F$333,6),"-")</f>
        <v>0</v>
      </c>
      <c r="D102" s="209" t="s">
        <v>132</v>
      </c>
      <c r="E102" s="223" t="s">
        <v>158</v>
      </c>
      <c r="F102" s="223" t="s">
        <v>175</v>
      </c>
      <c r="G102" s="223"/>
      <c r="H102" s="151" t="s">
        <v>453</v>
      </c>
      <c r="I102" s="135" t="s">
        <v>39</v>
      </c>
      <c r="J102" s="135" t="s">
        <v>39</v>
      </c>
      <c r="K102" s="135" t="s">
        <v>315</v>
      </c>
      <c r="L102" s="136" t="s">
        <v>42</v>
      </c>
      <c r="M102" s="136"/>
      <c r="N102" s="136"/>
      <c r="O102" s="137"/>
      <c r="P102" s="137"/>
      <c r="Q102" s="138"/>
      <c r="R102" s="138"/>
      <c r="S102" s="139">
        <v>356</v>
      </c>
      <c r="T102" s="224">
        <v>45133</v>
      </c>
      <c r="U102" s="225" t="s">
        <v>220</v>
      </c>
      <c r="V102" s="224" t="s">
        <v>454</v>
      </c>
      <c r="W102" s="225" t="str">
        <f ca="1">IFERROR(V102-TODAY(),"")</f>
        <v/>
      </c>
      <c r="X102" s="226"/>
      <c r="Y102" s="226"/>
      <c r="Z102" s="227"/>
      <c r="AA102" s="227"/>
      <c r="AB102" s="227"/>
      <c r="AC102" s="227"/>
      <c r="AD102" s="227"/>
      <c r="AE102" s="227"/>
      <c r="AF102" s="228"/>
      <c r="AG102" s="228"/>
      <c r="AH102" s="229"/>
      <c r="AI102" s="229"/>
      <c r="AJ102" s="229"/>
      <c r="AK102" s="229"/>
      <c r="AL102" s="229"/>
      <c r="AM102" s="229"/>
      <c r="AN102" s="229"/>
      <c r="AO102" s="229"/>
      <c r="AP102" s="228"/>
      <c r="AQ102" s="225" t="str">
        <f ca="1">IF(ALL_02FEB2024[[#This Row],[Days to Contract End]]&lt;=90,"R",IF(AND(ALL_02FEB2024[[#This Row],[Days to Contract End]]&lt;180),"A","G"))</f>
        <v>G</v>
      </c>
      <c r="AR102" s="230"/>
    </row>
    <row r="103" spans="2:47">
      <c r="B103" s="156" t="s">
        <v>131</v>
      </c>
      <c r="C103" s="134">
        <f>IFERROR(VLOOKUP(B103,'QB Consolidated Contacts'!$A$1:$F$333,6),"-")</f>
        <v>0</v>
      </c>
      <c r="D103" s="209" t="s">
        <v>132</v>
      </c>
      <c r="E103" s="62" t="s">
        <v>133</v>
      </c>
      <c r="F103" s="62" t="s">
        <v>44</v>
      </c>
      <c r="G103" s="62"/>
      <c r="H103" s="144" t="s">
        <v>134</v>
      </c>
      <c r="I103" s="54" t="s">
        <v>39</v>
      </c>
      <c r="J103" s="54" t="s">
        <v>39</v>
      </c>
      <c r="K103" s="54" t="s">
        <v>315</v>
      </c>
      <c r="L103" s="31" t="s">
        <v>42</v>
      </c>
      <c r="M103" s="31"/>
      <c r="N103" s="31"/>
      <c r="O103" s="55"/>
      <c r="P103" s="55"/>
      <c r="Q103" s="77"/>
      <c r="R103" s="77"/>
      <c r="S103" s="56"/>
      <c r="T103" s="63">
        <v>45113</v>
      </c>
      <c r="U103" s="64"/>
      <c r="V103" s="63">
        <f>IFERROR(EDATE(T103,U103),"")</f>
        <v>45113</v>
      </c>
      <c r="W103" s="64">
        <f ca="1">IFERROR(V103-TODAY(),"")</f>
        <v>-980</v>
      </c>
      <c r="X103" s="65"/>
      <c r="Y103" s="65"/>
      <c r="Z103" s="67"/>
      <c r="AA103" s="67"/>
      <c r="AB103" s="67"/>
      <c r="AC103" s="67"/>
      <c r="AD103" s="67"/>
      <c r="AE103" s="67"/>
      <c r="AF103" s="66"/>
      <c r="AG103" s="66"/>
      <c r="AH103" s="69"/>
      <c r="AI103" s="69"/>
      <c r="AJ103" s="69"/>
      <c r="AK103" s="69"/>
      <c r="AL103" s="69"/>
      <c r="AM103" s="69"/>
      <c r="AN103" s="69"/>
      <c r="AO103" s="69"/>
      <c r="AP103" s="66"/>
      <c r="AQ103" s="64" t="str">
        <f ca="1">IF(ALL_02FEB2024[[#This Row],[Days to Contract End]]&lt;=90,"R",IF(AND(ALL_02FEB2024[[#This Row],[Days to Contract End]]&lt;180),"A","G"))</f>
        <v>R</v>
      </c>
      <c r="AR103" s="70"/>
    </row>
    <row r="104" spans="2:47" ht="45">
      <c r="B104" s="147" t="s">
        <v>223</v>
      </c>
      <c r="C104" s="71">
        <f>IFERROR(VLOOKUP(B104,'QB Consolidated Contacts'!$A$1:$F$333,6),"-")</f>
        <v>0</v>
      </c>
      <c r="D104" s="208"/>
      <c r="E104" s="62" t="s">
        <v>43</v>
      </c>
      <c r="F104" s="62" t="s">
        <v>44</v>
      </c>
      <c r="G104" s="62"/>
      <c r="H104" s="143" t="s">
        <v>45</v>
      </c>
      <c r="I104" s="54" t="s">
        <v>39</v>
      </c>
      <c r="J104" s="54" t="s">
        <v>39</v>
      </c>
      <c r="K104" s="54" t="s">
        <v>315</v>
      </c>
      <c r="L104" s="31" t="s">
        <v>42</v>
      </c>
      <c r="M104" s="31"/>
      <c r="N104" s="31"/>
      <c r="O104" s="55"/>
      <c r="P104" s="55" t="s">
        <v>439</v>
      </c>
      <c r="Q104" s="77"/>
      <c r="R104" s="77"/>
      <c r="S104" s="56"/>
      <c r="T104" s="63">
        <v>44531</v>
      </c>
      <c r="U104" s="64" t="s">
        <v>46</v>
      </c>
      <c r="V104" s="63" t="str">
        <f t="shared" si="7"/>
        <v/>
      </c>
      <c r="W104" s="64" t="str">
        <f t="shared" ca="1" si="9"/>
        <v/>
      </c>
      <c r="X104" s="65"/>
      <c r="Y104" s="65"/>
      <c r="Z104" s="67"/>
      <c r="AA104" s="67"/>
      <c r="AB104" s="67"/>
      <c r="AC104" s="67"/>
      <c r="AD104" s="67"/>
      <c r="AE104" s="67"/>
      <c r="AF104" s="66"/>
      <c r="AG104" s="66"/>
      <c r="AH104" s="69"/>
      <c r="AI104" s="69"/>
      <c r="AJ104" s="69"/>
      <c r="AK104" s="69"/>
      <c r="AL104" s="69"/>
      <c r="AM104" s="69"/>
      <c r="AN104" s="69"/>
      <c r="AO104" s="69"/>
      <c r="AP104" s="66"/>
      <c r="AQ104" s="65" t="str">
        <f ca="1">IF(ALL_02FEB2024[[#This Row],[Days to Contract End]]&lt;=90,"R",IF(AND(ALL_02FEB2024[[#This Row],[Days to Contract End]]&lt;180),"A","G"))</f>
        <v>G</v>
      </c>
      <c r="AR104" s="70"/>
      <c r="AS104" s="51"/>
      <c r="AT104" s="52"/>
      <c r="AU104" s="52"/>
    </row>
    <row r="105" spans="2:47">
      <c r="B105" s="147" t="s">
        <v>137</v>
      </c>
      <c r="C105" s="71">
        <f>IFERROR(VLOOKUP(B105,'QB Consolidated Contacts'!$A$1:$F$333,6),"-")</f>
        <v>0</v>
      </c>
      <c r="D105" s="208"/>
      <c r="E105" s="62" t="s">
        <v>66</v>
      </c>
      <c r="F105" s="62" t="s">
        <v>44</v>
      </c>
      <c r="G105" s="62"/>
      <c r="H105" s="143" t="s">
        <v>78</v>
      </c>
      <c r="I105" s="54" t="s">
        <v>40</v>
      </c>
      <c r="J105" s="54"/>
      <c r="K105" s="54"/>
      <c r="L105" s="31" t="s">
        <v>42</v>
      </c>
      <c r="M105" s="31"/>
      <c r="N105" s="31"/>
      <c r="O105" s="55"/>
      <c r="P105" s="55"/>
      <c r="Q105" s="77"/>
      <c r="R105" s="77"/>
      <c r="S105" s="56"/>
      <c r="T105" s="63"/>
      <c r="U105" s="64"/>
      <c r="V105" s="63">
        <f t="shared" si="7"/>
        <v>0</v>
      </c>
      <c r="W105" s="65">
        <f t="shared" ca="1" si="9"/>
        <v>-46093</v>
      </c>
      <c r="X105" s="65"/>
      <c r="Y105" s="65"/>
      <c r="Z105" s="67"/>
      <c r="AA105" s="67"/>
      <c r="AB105" s="67"/>
      <c r="AC105" s="67"/>
      <c r="AD105" s="67"/>
      <c r="AE105" s="67"/>
      <c r="AF105" s="66"/>
      <c r="AG105" s="66"/>
      <c r="AH105" s="69"/>
      <c r="AI105" s="69"/>
      <c r="AJ105" s="69"/>
      <c r="AK105" s="69"/>
      <c r="AL105" s="69"/>
      <c r="AM105" s="69"/>
      <c r="AN105" s="69"/>
      <c r="AO105" s="69"/>
      <c r="AP105" s="66"/>
      <c r="AQ105" s="65" t="str">
        <f ca="1">IF(ALL_02FEB2024[[#This Row],[Days to Contract End]]&lt;=90,"R",IF(AND(ALL_02FEB2024[[#This Row],[Days to Contract End]]&lt;180),"A","G"))</f>
        <v>R</v>
      </c>
      <c r="AR105" s="70"/>
      <c r="AS105" s="51"/>
      <c r="AT105" s="52"/>
      <c r="AU105" s="52"/>
    </row>
    <row r="106" spans="2:47" ht="30">
      <c r="B106" s="147" t="s">
        <v>137</v>
      </c>
      <c r="C106" s="71">
        <f>IFERROR(VLOOKUP(B106,'QB Consolidated Contacts'!$A$1:$F$333,6),"-")</f>
        <v>0</v>
      </c>
      <c r="D106" s="208" t="s">
        <v>132</v>
      </c>
      <c r="E106" s="62" t="s">
        <v>158</v>
      </c>
      <c r="F106" s="62" t="s">
        <v>175</v>
      </c>
      <c r="G106" s="62"/>
      <c r="H106" s="143" t="s">
        <v>456</v>
      </c>
      <c r="I106" s="54" t="s">
        <v>39</v>
      </c>
      <c r="J106" s="54"/>
      <c r="K106" s="54" t="s">
        <v>309</v>
      </c>
      <c r="L106" s="31" t="s">
        <v>51</v>
      </c>
      <c r="M106" s="31"/>
      <c r="N106" s="31"/>
      <c r="O106" s="55"/>
      <c r="P106" s="55"/>
      <c r="Q106" s="77"/>
      <c r="R106" s="77"/>
      <c r="S106" s="56">
        <v>112</v>
      </c>
      <c r="T106" s="63">
        <v>44763</v>
      </c>
      <c r="U106" s="64" t="s">
        <v>46</v>
      </c>
      <c r="V106" s="63" t="str">
        <f t="shared" si="7"/>
        <v/>
      </c>
      <c r="W106" s="64" t="str">
        <f t="shared" ca="1" si="9"/>
        <v/>
      </c>
      <c r="X106" s="65"/>
      <c r="Y106" s="65"/>
      <c r="Z106" s="67"/>
      <c r="AA106" s="67"/>
      <c r="AB106" s="67"/>
      <c r="AC106" s="67"/>
      <c r="AD106" s="67"/>
      <c r="AE106" s="67"/>
      <c r="AF106" s="66"/>
      <c r="AG106" s="66"/>
      <c r="AH106" s="69"/>
      <c r="AI106" s="69"/>
      <c r="AJ106" s="69"/>
      <c r="AK106" s="69"/>
      <c r="AL106" s="69"/>
      <c r="AM106" s="69"/>
      <c r="AN106" s="69"/>
      <c r="AO106" s="69"/>
      <c r="AP106" s="66"/>
      <c r="AQ106" s="64" t="str">
        <f ca="1">IF(ALL_02FEB2024[[#This Row],[Days to Contract End]]&lt;=90,"R",IF(AND(ALL_02FEB2024[[#This Row],[Days to Contract End]]&lt;180),"A","G"))</f>
        <v>G</v>
      </c>
      <c r="AR106" s="70"/>
      <c r="AS106" s="51"/>
      <c r="AT106" s="52"/>
      <c r="AU106" s="52"/>
    </row>
    <row r="107" spans="2:47" ht="45">
      <c r="B107" s="147" t="s">
        <v>138</v>
      </c>
      <c r="C107" s="71">
        <f>IFERROR(VLOOKUP(B107,'QB Consolidated Contacts'!$A$1:$F$333,6),"-")</f>
        <v>0</v>
      </c>
      <c r="D107" s="208"/>
      <c r="E107" s="62"/>
      <c r="F107" s="62" t="s">
        <v>108</v>
      </c>
      <c r="G107" s="62"/>
      <c r="H107" s="144" t="s">
        <v>139</v>
      </c>
      <c r="I107" s="54" t="s">
        <v>40</v>
      </c>
      <c r="J107" s="54"/>
      <c r="K107" s="54" t="s">
        <v>108</v>
      </c>
      <c r="L107" s="31"/>
      <c r="M107" s="31"/>
      <c r="N107" s="31"/>
      <c r="O107" s="55" t="s">
        <v>290</v>
      </c>
      <c r="P107" s="55"/>
      <c r="Q107" s="77"/>
      <c r="R107" s="77"/>
      <c r="S107" s="56">
        <v>155</v>
      </c>
      <c r="T107" s="63"/>
      <c r="U107" s="64"/>
      <c r="V107" s="63">
        <f t="shared" si="7"/>
        <v>0</v>
      </c>
      <c r="W107" s="64">
        <f t="shared" ca="1" si="9"/>
        <v>-46093</v>
      </c>
      <c r="X107" s="65"/>
      <c r="Y107" s="65"/>
      <c r="Z107" s="67" t="s">
        <v>48</v>
      </c>
      <c r="AA107" s="67" t="s">
        <v>48</v>
      </c>
      <c r="AB107" s="67"/>
      <c r="AC107" s="67"/>
      <c r="AD107" s="67" t="s">
        <v>48</v>
      </c>
      <c r="AE107" s="67"/>
      <c r="AF107" s="66" t="s">
        <v>48</v>
      </c>
      <c r="AG107" s="66" t="s">
        <v>48</v>
      </c>
      <c r="AH107" s="69"/>
      <c r="AI107" s="69"/>
      <c r="AJ107" s="69"/>
      <c r="AK107" s="69"/>
      <c r="AL107" s="69"/>
      <c r="AM107" s="69"/>
      <c r="AN107" s="69"/>
      <c r="AO107" s="69"/>
      <c r="AP107" s="66" t="s">
        <v>48</v>
      </c>
      <c r="AQ107" s="64" t="str">
        <f ca="1">IF(ALL_02FEB2024[[#This Row],[Days to Contract End]]&lt;=90,"R",IF(AND(ALL_02FEB2024[[#This Row],[Days to Contract End]]&lt;180),"A","G"))</f>
        <v>R</v>
      </c>
      <c r="AR107" s="70"/>
      <c r="AS107" s="51"/>
      <c r="AT107" s="52"/>
      <c r="AU107" s="52"/>
    </row>
    <row r="108" spans="2:47">
      <c r="B108" s="147" t="s">
        <v>140</v>
      </c>
      <c r="C108" s="71">
        <f>IFERROR(VLOOKUP(B108,'QB Consolidated Contacts'!$A$1:$F$333,6),"-")</f>
        <v>0</v>
      </c>
      <c r="D108" s="208"/>
      <c r="E108" s="62" t="s">
        <v>66</v>
      </c>
      <c r="F108" s="62" t="s">
        <v>44</v>
      </c>
      <c r="G108" s="62"/>
      <c r="H108" s="143" t="s">
        <v>78</v>
      </c>
      <c r="I108" s="54" t="s">
        <v>39</v>
      </c>
      <c r="J108" s="54"/>
      <c r="K108" s="54"/>
      <c r="L108" s="31" t="s">
        <v>42</v>
      </c>
      <c r="M108" s="31"/>
      <c r="N108" s="31"/>
      <c r="O108" s="55"/>
      <c r="P108" s="55"/>
      <c r="Q108" s="77"/>
      <c r="R108" s="77"/>
      <c r="S108" s="56"/>
      <c r="T108" s="63">
        <v>43041</v>
      </c>
      <c r="U108" s="64" t="s">
        <v>46</v>
      </c>
      <c r="V108" s="63" t="str">
        <f t="shared" si="7"/>
        <v/>
      </c>
      <c r="W108" s="64" t="str">
        <f t="shared" ca="1" si="9"/>
        <v/>
      </c>
      <c r="X108" s="65"/>
      <c r="Y108" s="65"/>
      <c r="Z108" s="67"/>
      <c r="AA108" s="67"/>
      <c r="AB108" s="67"/>
      <c r="AC108" s="67"/>
      <c r="AD108" s="67"/>
      <c r="AE108" s="67"/>
      <c r="AF108" s="66"/>
      <c r="AG108" s="66"/>
      <c r="AH108" s="69"/>
      <c r="AI108" s="69"/>
      <c r="AJ108" s="69"/>
      <c r="AK108" s="69"/>
      <c r="AL108" s="69"/>
      <c r="AM108" s="69"/>
      <c r="AN108" s="69"/>
      <c r="AO108" s="69"/>
      <c r="AP108" s="66"/>
      <c r="AQ108" s="64" t="str">
        <f ca="1">IF(ALL_02FEB2024[[#This Row],[Days to Contract End]]&lt;=90,"R",IF(AND(ALL_02FEB2024[[#This Row],[Days to Contract End]]&lt;180),"A","G"))</f>
        <v>G</v>
      </c>
      <c r="AR108" s="70" t="s">
        <v>141</v>
      </c>
      <c r="AS108" s="51"/>
      <c r="AT108" s="52"/>
      <c r="AU108" s="52"/>
    </row>
    <row r="109" spans="2:47">
      <c r="B109" s="147" t="s">
        <v>140</v>
      </c>
      <c r="C109" s="71">
        <f>IFERROR(VLOOKUP(B109,'QB Consolidated Contacts'!$A$1:$F$333,6),"-")</f>
        <v>0</v>
      </c>
      <c r="D109" s="208"/>
      <c r="E109" s="62" t="s">
        <v>43</v>
      </c>
      <c r="F109" s="62" t="s">
        <v>44</v>
      </c>
      <c r="G109" s="62"/>
      <c r="H109" s="143" t="s">
        <v>45</v>
      </c>
      <c r="I109" s="54" t="s">
        <v>39</v>
      </c>
      <c r="J109" s="54"/>
      <c r="K109" s="54" t="s">
        <v>309</v>
      </c>
      <c r="L109" s="31" t="s">
        <v>42</v>
      </c>
      <c r="M109" s="31"/>
      <c r="N109" s="31"/>
      <c r="O109" s="55"/>
      <c r="P109" s="55"/>
      <c r="Q109" s="77"/>
      <c r="R109" s="77"/>
      <c r="S109" s="56"/>
      <c r="T109" s="63">
        <v>43066</v>
      </c>
      <c r="U109" s="64" t="s">
        <v>46</v>
      </c>
      <c r="V109" s="63" t="str">
        <f t="shared" si="7"/>
        <v/>
      </c>
      <c r="W109" s="65" t="str">
        <f t="shared" ca="1" si="9"/>
        <v/>
      </c>
      <c r="X109" s="65"/>
      <c r="Y109" s="65"/>
      <c r="Z109" s="67"/>
      <c r="AA109" s="67"/>
      <c r="AB109" s="67"/>
      <c r="AC109" s="67"/>
      <c r="AD109" s="67"/>
      <c r="AE109" s="67"/>
      <c r="AF109" s="66"/>
      <c r="AG109" s="66"/>
      <c r="AH109" s="69"/>
      <c r="AI109" s="69"/>
      <c r="AJ109" s="69"/>
      <c r="AK109" s="69"/>
      <c r="AL109" s="69"/>
      <c r="AM109" s="69"/>
      <c r="AN109" s="69"/>
      <c r="AO109" s="69"/>
      <c r="AP109" s="66"/>
      <c r="AQ109" s="65" t="str">
        <f ca="1">IF(ALL_02FEB2024[[#This Row],[Days to Contract End]]&lt;=90,"R",IF(AND(ALL_02FEB2024[[#This Row],[Days to Contract End]]&lt;180),"A","G"))</f>
        <v>G</v>
      </c>
      <c r="AR109" s="70" t="s">
        <v>142</v>
      </c>
      <c r="AS109" s="51"/>
      <c r="AT109" s="52"/>
      <c r="AU109" s="52"/>
    </row>
    <row r="110" spans="2:47" ht="30">
      <c r="B110" s="147" t="s">
        <v>140</v>
      </c>
      <c r="C110" s="71">
        <f>IFERROR(VLOOKUP(B110,'QB Consolidated Contacts'!$A$1:$F$333,6),"-")</f>
        <v>0</v>
      </c>
      <c r="D110" s="208" t="s">
        <v>132</v>
      </c>
      <c r="E110" s="62" t="s">
        <v>158</v>
      </c>
      <c r="F110" s="62" t="s">
        <v>288</v>
      </c>
      <c r="G110" s="62"/>
      <c r="H110" s="143" t="s">
        <v>457</v>
      </c>
      <c r="I110" s="54" t="s">
        <v>39</v>
      </c>
      <c r="J110" s="54"/>
      <c r="K110" s="54" t="s">
        <v>315</v>
      </c>
      <c r="L110" s="31" t="s">
        <v>42</v>
      </c>
      <c r="M110" s="31"/>
      <c r="N110" s="31"/>
      <c r="O110" s="55"/>
      <c r="P110" s="55"/>
      <c r="Q110" s="77"/>
      <c r="R110" s="77"/>
      <c r="S110" s="56"/>
      <c r="T110" s="63">
        <v>43831</v>
      </c>
      <c r="U110" s="64" t="s">
        <v>46</v>
      </c>
      <c r="V110" s="63" t="str">
        <f t="shared" si="7"/>
        <v/>
      </c>
      <c r="W110" s="64" t="str">
        <f t="shared" ca="1" si="9"/>
        <v/>
      </c>
      <c r="X110" s="65"/>
      <c r="Y110" s="65"/>
      <c r="Z110" s="67"/>
      <c r="AA110" s="67"/>
      <c r="AB110" s="67"/>
      <c r="AC110" s="67"/>
      <c r="AD110" s="67"/>
      <c r="AE110" s="67"/>
      <c r="AF110" s="66"/>
      <c r="AG110" s="66"/>
      <c r="AH110" s="69"/>
      <c r="AI110" s="69"/>
      <c r="AJ110" s="69"/>
      <c r="AK110" s="69"/>
      <c r="AL110" s="69"/>
      <c r="AM110" s="69"/>
      <c r="AN110" s="69"/>
      <c r="AO110" s="69"/>
      <c r="AP110" s="66"/>
      <c r="AQ110" s="65" t="str">
        <f ca="1">IF(ALL_02FEB2024[[#This Row],[Days to Contract End]]&lt;=90,"R",IF(AND(ALL_02FEB2024[[#This Row],[Days to Contract End]]&lt;180),"A","G"))</f>
        <v>G</v>
      </c>
      <c r="AR110" s="70"/>
      <c r="AS110" s="51"/>
      <c r="AT110" s="52"/>
      <c r="AU110" s="52"/>
    </row>
    <row r="111" spans="2:47">
      <c r="B111" s="147" t="s">
        <v>143</v>
      </c>
      <c r="C111" s="71">
        <f>IFERROR(VLOOKUP(B111,'QB Consolidated Contacts'!$A$1:$F$333,6),"-")</f>
        <v>0</v>
      </c>
      <c r="D111" s="208"/>
      <c r="E111" s="62" t="s">
        <v>43</v>
      </c>
      <c r="F111" s="62" t="s">
        <v>44</v>
      </c>
      <c r="G111" s="62"/>
      <c r="H111" s="143" t="s">
        <v>45</v>
      </c>
      <c r="I111" s="54" t="s">
        <v>40</v>
      </c>
      <c r="J111" s="54"/>
      <c r="K111" s="54"/>
      <c r="L111" s="31" t="s">
        <v>42</v>
      </c>
      <c r="M111" s="31"/>
      <c r="N111" s="31"/>
      <c r="O111" s="55" t="s">
        <v>48</v>
      </c>
      <c r="P111" s="55"/>
      <c r="Q111" s="77"/>
      <c r="R111" s="77"/>
      <c r="S111" s="56" t="s">
        <v>48</v>
      </c>
      <c r="T111" s="63">
        <v>44531</v>
      </c>
      <c r="U111" s="64" t="s">
        <v>144</v>
      </c>
      <c r="V111" s="63" t="str">
        <f t="shared" si="7"/>
        <v/>
      </c>
      <c r="W111" s="64" t="str">
        <f t="shared" ca="1" si="9"/>
        <v/>
      </c>
      <c r="X111" s="65" t="s">
        <v>39</v>
      </c>
      <c r="Y111" s="65"/>
      <c r="Z111" s="67"/>
      <c r="AA111" s="67" t="s">
        <v>47</v>
      </c>
      <c r="AB111" s="67"/>
      <c r="AC111" s="67"/>
      <c r="AD111" s="67"/>
      <c r="AE111" s="67"/>
      <c r="AF111" s="66"/>
      <c r="AG111" s="66"/>
      <c r="AH111" s="69"/>
      <c r="AI111" s="69"/>
      <c r="AJ111" s="69"/>
      <c r="AK111" s="69"/>
      <c r="AL111" s="69"/>
      <c r="AM111" s="69"/>
      <c r="AN111" s="69"/>
      <c r="AO111" s="69"/>
      <c r="AP111" s="66" t="s">
        <v>49</v>
      </c>
      <c r="AQ111" s="65" t="str">
        <f ca="1">IF(ALL_02FEB2024[[#This Row],[Days to Contract End]]&lt;=90,"R",IF(AND(ALL_02FEB2024[[#This Row],[Days to Contract End]]&lt;180),"A","G"))</f>
        <v>G</v>
      </c>
      <c r="AR111" s="70"/>
      <c r="AS111" s="51"/>
      <c r="AT111" s="52"/>
      <c r="AU111" s="52"/>
    </row>
    <row r="112" spans="2:47" ht="30">
      <c r="B112" s="147" t="s">
        <v>143</v>
      </c>
      <c r="C112" s="71">
        <f>IFERROR(VLOOKUP(B112,'QB Consolidated Contacts'!$A$1:$F$333,6),"-")</f>
        <v>0</v>
      </c>
      <c r="D112" s="208"/>
      <c r="E112" s="62" t="s">
        <v>158</v>
      </c>
      <c r="F112" s="62" t="s">
        <v>175</v>
      </c>
      <c r="G112" s="62"/>
      <c r="H112" s="143" t="s">
        <v>458</v>
      </c>
      <c r="I112" s="54" t="s">
        <v>39</v>
      </c>
      <c r="J112" s="54"/>
      <c r="K112" s="54" t="s">
        <v>315</v>
      </c>
      <c r="L112" s="31" t="s">
        <v>42</v>
      </c>
      <c r="M112" s="31"/>
      <c r="N112" s="31"/>
      <c r="O112" s="55" t="s">
        <v>290</v>
      </c>
      <c r="P112" s="55" t="s">
        <v>439</v>
      </c>
      <c r="Q112" s="77"/>
      <c r="R112" s="77">
        <v>116200</v>
      </c>
      <c r="S112" s="56">
        <v>664</v>
      </c>
      <c r="T112" s="63">
        <v>44713</v>
      </c>
      <c r="U112" s="64" t="s">
        <v>46</v>
      </c>
      <c r="V112" s="63" t="str">
        <f t="shared" si="7"/>
        <v/>
      </c>
      <c r="W112" s="65" t="str">
        <f t="shared" ca="1" si="9"/>
        <v/>
      </c>
      <c r="X112" s="65" t="s">
        <v>40</v>
      </c>
      <c r="Y112" s="65"/>
      <c r="Z112" s="67" t="s">
        <v>48</v>
      </c>
      <c r="AA112" s="67" t="s">
        <v>48</v>
      </c>
      <c r="AB112" s="67"/>
      <c r="AC112" s="67"/>
      <c r="AD112" s="67" t="s">
        <v>48</v>
      </c>
      <c r="AE112" s="67"/>
      <c r="AF112" s="66" t="s">
        <v>48</v>
      </c>
      <c r="AG112" s="66" t="s">
        <v>48</v>
      </c>
      <c r="AH112" s="69"/>
      <c r="AI112" s="69"/>
      <c r="AJ112" s="69"/>
      <c r="AK112" s="69"/>
      <c r="AL112" s="69"/>
      <c r="AM112" s="69"/>
      <c r="AN112" s="69"/>
      <c r="AO112" s="69"/>
      <c r="AP112" s="66" t="s">
        <v>48</v>
      </c>
      <c r="AQ112" s="65" t="str">
        <f ca="1">IF(ALL_02FEB2024[[#This Row],[Days to Contract End]]&lt;=90,"R",IF(AND(ALL_02FEB2024[[#This Row],[Days to Contract End]]&lt;180),"A","G"))</f>
        <v>G</v>
      </c>
      <c r="AR112" s="70" t="s">
        <v>459</v>
      </c>
      <c r="AS112" s="51"/>
      <c r="AT112" s="52"/>
      <c r="AU112" s="52"/>
    </row>
    <row r="113" spans="2:47" ht="30">
      <c r="B113" s="156" t="s">
        <v>145</v>
      </c>
      <c r="C113" s="134">
        <f>IFERROR(VLOOKUP(B113,'QB Consolidated Contacts'!$A$1:$F$333,6),"-")</f>
        <v>0</v>
      </c>
      <c r="D113" s="209" t="s">
        <v>132</v>
      </c>
      <c r="E113" s="223" t="s">
        <v>158</v>
      </c>
      <c r="F113" s="223" t="s">
        <v>175</v>
      </c>
      <c r="G113" s="223" t="s">
        <v>631</v>
      </c>
      <c r="H113" s="151" t="s">
        <v>460</v>
      </c>
      <c r="I113" s="135" t="s">
        <v>39</v>
      </c>
      <c r="J113" s="135" t="s">
        <v>39</v>
      </c>
      <c r="K113" s="135" t="s">
        <v>315</v>
      </c>
      <c r="L113" s="136" t="s">
        <v>42</v>
      </c>
      <c r="M113" s="136"/>
      <c r="N113" s="136">
        <v>4500032976</v>
      </c>
      <c r="O113" s="137"/>
      <c r="P113" s="137"/>
      <c r="Q113" s="138"/>
      <c r="R113" s="138"/>
      <c r="S113" s="139">
        <v>740</v>
      </c>
      <c r="T113" s="224">
        <v>45113</v>
      </c>
      <c r="U113" s="225">
        <v>7</v>
      </c>
      <c r="V113" s="224">
        <f>IFERROR(EDATE(T113,U113),"")</f>
        <v>45328</v>
      </c>
      <c r="W113" s="225">
        <f ca="1">IFERROR(V113-TODAY(),"")</f>
        <v>-765</v>
      </c>
      <c r="X113" s="226"/>
      <c r="Y113" s="226"/>
      <c r="Z113" s="227"/>
      <c r="AA113" s="227"/>
      <c r="AB113" s="227"/>
      <c r="AC113" s="227"/>
      <c r="AD113" s="227"/>
      <c r="AE113" s="227"/>
      <c r="AF113" s="228"/>
      <c r="AG113" s="228"/>
      <c r="AH113" s="229"/>
      <c r="AI113" s="229"/>
      <c r="AJ113" s="229"/>
      <c r="AK113" s="229"/>
      <c r="AL113" s="229"/>
      <c r="AM113" s="229"/>
      <c r="AN113" s="229"/>
      <c r="AO113" s="229"/>
      <c r="AP113" s="228"/>
      <c r="AQ113" s="225" t="str">
        <f ca="1">IF(ALL_02FEB2024[[#This Row],[Days to Contract End]]&lt;=90,"R",IF(AND(ALL_02FEB2024[[#This Row],[Days to Contract End]]&lt;180),"A","G"))</f>
        <v>R</v>
      </c>
      <c r="AR113" s="230"/>
    </row>
    <row r="114" spans="2:47">
      <c r="B114" s="156" t="s">
        <v>145</v>
      </c>
      <c r="C114" s="71">
        <f>IFERROR(VLOOKUP(B114,'QB Consolidated Contacts'!$A$1:$F$333,6),"-")</f>
        <v>0</v>
      </c>
      <c r="D114" s="208" t="s">
        <v>132</v>
      </c>
      <c r="E114" s="62" t="s">
        <v>43</v>
      </c>
      <c r="F114" s="62" t="s">
        <v>44</v>
      </c>
      <c r="G114" s="62"/>
      <c r="H114" s="142" t="s">
        <v>146</v>
      </c>
      <c r="I114" s="54" t="s">
        <v>39</v>
      </c>
      <c r="J114" s="54" t="s">
        <v>39</v>
      </c>
      <c r="K114" s="54" t="s">
        <v>315</v>
      </c>
      <c r="L114" s="31" t="s">
        <v>42</v>
      </c>
      <c r="M114" s="31"/>
      <c r="N114" s="31"/>
      <c r="O114" s="55"/>
      <c r="P114" s="55"/>
      <c r="Q114" s="77"/>
      <c r="R114" s="77"/>
      <c r="S114" s="56"/>
      <c r="T114" s="63">
        <v>45103</v>
      </c>
      <c r="U114" s="64">
        <v>12</v>
      </c>
      <c r="V114" s="63">
        <f>IFERROR(EDATE(T114,U114),"")</f>
        <v>45469</v>
      </c>
      <c r="W114" s="64">
        <f ca="1">IFERROR(V114-TODAY(),"")</f>
        <v>-624</v>
      </c>
      <c r="X114" s="65"/>
      <c r="Y114" s="65"/>
      <c r="Z114" s="67"/>
      <c r="AA114" s="67"/>
      <c r="AB114" s="67"/>
      <c r="AC114" s="67"/>
      <c r="AD114" s="67"/>
      <c r="AE114" s="67"/>
      <c r="AF114" s="66"/>
      <c r="AG114" s="66"/>
      <c r="AH114" s="69"/>
      <c r="AI114" s="69"/>
      <c r="AJ114" s="69"/>
      <c r="AK114" s="69"/>
      <c r="AL114" s="69"/>
      <c r="AM114" s="69"/>
      <c r="AN114" s="69"/>
      <c r="AO114" s="69"/>
      <c r="AP114" s="66"/>
      <c r="AQ114" s="64" t="str">
        <f ca="1">IF(ALL_02FEB2024[[#This Row],[Days to Contract End]]&lt;=90,"R",IF(AND(ALL_02FEB2024[[#This Row],[Days to Contract End]]&lt;180),"A","G"))</f>
        <v>R</v>
      </c>
      <c r="AR114" s="70" t="s">
        <v>147</v>
      </c>
    </row>
    <row r="115" spans="2:47">
      <c r="B115" s="147" t="s">
        <v>151</v>
      </c>
      <c r="C115" s="71">
        <f>IFERROR(VLOOKUP(B115,'QB Consolidated Contacts'!$A$1:$F$333,6),"-")</f>
        <v>0</v>
      </c>
      <c r="D115" s="208"/>
      <c r="E115" s="62" t="s">
        <v>66</v>
      </c>
      <c r="F115" s="62" t="s">
        <v>44</v>
      </c>
      <c r="G115" s="62"/>
      <c r="H115" s="143" t="s">
        <v>78</v>
      </c>
      <c r="I115" s="54" t="s">
        <v>39</v>
      </c>
      <c r="J115" s="54"/>
      <c r="K115" s="54"/>
      <c r="L115" s="31" t="s">
        <v>42</v>
      </c>
      <c r="M115" s="31"/>
      <c r="N115" s="31"/>
      <c r="O115" s="55"/>
      <c r="P115" s="55"/>
      <c r="Q115" s="77"/>
      <c r="R115" s="77"/>
      <c r="S115" s="56"/>
      <c r="T115" s="63">
        <v>44887</v>
      </c>
      <c r="U115" s="64">
        <v>36</v>
      </c>
      <c r="V115" s="63">
        <f t="shared" si="7"/>
        <v>45983</v>
      </c>
      <c r="W115" s="64">
        <f t="shared" ca="1" si="9"/>
        <v>-110</v>
      </c>
      <c r="X115" s="65"/>
      <c r="Y115" s="65"/>
      <c r="Z115" s="67"/>
      <c r="AA115" s="67"/>
      <c r="AB115" s="67"/>
      <c r="AC115" s="67"/>
      <c r="AD115" s="67"/>
      <c r="AE115" s="67"/>
      <c r="AF115" s="66"/>
      <c r="AG115" s="66"/>
      <c r="AH115" s="69"/>
      <c r="AI115" s="69"/>
      <c r="AJ115" s="69"/>
      <c r="AK115" s="69"/>
      <c r="AL115" s="69"/>
      <c r="AM115" s="69"/>
      <c r="AN115" s="69"/>
      <c r="AO115" s="69"/>
      <c r="AP115" s="66"/>
      <c r="AQ115" s="65" t="str">
        <f ca="1">IF(ALL_02FEB2024[[#This Row],[Days to Contract End]]&lt;=90,"R",IF(AND(ALL_02FEB2024[[#This Row],[Days to Contract End]]&lt;180),"A","G"))</f>
        <v>R</v>
      </c>
      <c r="AR115" s="70"/>
      <c r="AS115" s="51"/>
      <c r="AT115" s="52"/>
      <c r="AU115" s="52"/>
    </row>
    <row r="116" spans="2:47" ht="30">
      <c r="B116" s="147" t="s">
        <v>152</v>
      </c>
      <c r="C116" s="71">
        <f>IFERROR(VLOOKUP(B116,'QB Consolidated Contacts'!$A$1:$F$333,6),"-")</f>
        <v>0</v>
      </c>
      <c r="D116" s="208"/>
      <c r="E116" s="62"/>
      <c r="F116" s="62" t="s">
        <v>108</v>
      </c>
      <c r="G116" s="62"/>
      <c r="H116" s="144"/>
      <c r="I116" s="54" t="s">
        <v>40</v>
      </c>
      <c r="J116" s="54"/>
      <c r="K116" s="54" t="s">
        <v>108</v>
      </c>
      <c r="L116" s="31"/>
      <c r="M116" s="31"/>
      <c r="N116" s="31"/>
      <c r="O116" s="55"/>
      <c r="P116" s="55"/>
      <c r="Q116" s="77"/>
      <c r="R116" s="77"/>
      <c r="S116" s="56"/>
      <c r="T116" s="63"/>
      <c r="U116" s="64"/>
      <c r="V116" s="63">
        <f t="shared" si="7"/>
        <v>0</v>
      </c>
      <c r="W116" s="64">
        <f t="shared" ca="1" si="9"/>
        <v>-46093</v>
      </c>
      <c r="X116" s="65"/>
      <c r="Y116" s="65"/>
      <c r="Z116" s="67"/>
      <c r="AA116" s="67"/>
      <c r="AB116" s="67"/>
      <c r="AC116" s="67"/>
      <c r="AD116" s="67"/>
      <c r="AE116" s="67"/>
      <c r="AF116" s="66"/>
      <c r="AG116" s="66"/>
      <c r="AH116" s="69"/>
      <c r="AI116" s="69"/>
      <c r="AJ116" s="69"/>
      <c r="AK116" s="69"/>
      <c r="AL116" s="69"/>
      <c r="AM116" s="69"/>
      <c r="AN116" s="69"/>
      <c r="AO116" s="69"/>
      <c r="AP116" s="66"/>
      <c r="AQ116" s="64" t="str">
        <f ca="1">IF(ALL_02FEB2024[[#This Row],[Days to Contract End]]&lt;=90,"R",IF(AND(ALL_02FEB2024[[#This Row],[Days to Contract End]]&lt;180),"A","G"))</f>
        <v>R</v>
      </c>
      <c r="AR116" s="70"/>
      <c r="AS116" s="51"/>
      <c r="AT116" s="52"/>
      <c r="AU116" s="52"/>
    </row>
    <row r="117" spans="2:47">
      <c r="B117" s="147" t="s">
        <v>156</v>
      </c>
      <c r="C117" s="71">
        <f>IFERROR(VLOOKUP(B117,'QB Consolidated Contacts'!$A$1:$F$333,6),"-")</f>
        <v>0</v>
      </c>
      <c r="D117" s="208"/>
      <c r="E117" s="62" t="s">
        <v>43</v>
      </c>
      <c r="F117" s="62"/>
      <c r="G117" s="62"/>
      <c r="H117" s="149"/>
      <c r="I117" s="54" t="s">
        <v>40</v>
      </c>
      <c r="J117" s="54"/>
      <c r="K117" s="54" t="s">
        <v>108</v>
      </c>
      <c r="L117" s="31"/>
      <c r="M117" s="31"/>
      <c r="N117" s="31"/>
      <c r="O117" s="55"/>
      <c r="P117" s="55"/>
      <c r="Q117" s="77"/>
      <c r="R117" s="77"/>
      <c r="S117" s="56"/>
      <c r="T117" s="63"/>
      <c r="U117" s="64"/>
      <c r="V117" s="63">
        <f t="shared" ref="V117:V155" si="10">IFERROR(EDATE(T117,U117),"")</f>
        <v>0</v>
      </c>
      <c r="W117" s="64">
        <f t="shared" ca="1" si="9"/>
        <v>-46093</v>
      </c>
      <c r="X117" s="65"/>
      <c r="Y117" s="65"/>
      <c r="Z117" s="67"/>
      <c r="AA117" s="67"/>
      <c r="AB117" s="67"/>
      <c r="AC117" s="67"/>
      <c r="AD117" s="67"/>
      <c r="AE117" s="67"/>
      <c r="AF117" s="66"/>
      <c r="AG117" s="66"/>
      <c r="AH117" s="69"/>
      <c r="AI117" s="69"/>
      <c r="AJ117" s="69"/>
      <c r="AK117" s="69"/>
      <c r="AL117" s="69"/>
      <c r="AM117" s="69"/>
      <c r="AN117" s="69"/>
      <c r="AO117" s="69"/>
      <c r="AP117" s="66"/>
      <c r="AQ117" s="64" t="str">
        <f ca="1">IF(ALL_02FEB2024[[#This Row],[Days to Contract End]]&lt;=90,"R",IF(AND(ALL_02FEB2024[[#This Row],[Days to Contract End]]&lt;180),"A","G"))</f>
        <v>R</v>
      </c>
      <c r="AR117" s="70"/>
      <c r="AS117" s="51"/>
      <c r="AT117" s="52"/>
      <c r="AU117" s="52"/>
    </row>
    <row r="118" spans="2:47" ht="30">
      <c r="B118" s="147" t="s">
        <v>156</v>
      </c>
      <c r="C118" s="71">
        <f>IFERROR(VLOOKUP(B118,'QB Consolidated Contacts'!$A$1:$F$333,6),"-")</f>
        <v>0</v>
      </c>
      <c r="D118" s="208" t="s">
        <v>132</v>
      </c>
      <c r="E118" s="62" t="s">
        <v>158</v>
      </c>
      <c r="F118" s="62" t="s">
        <v>175</v>
      </c>
      <c r="G118" s="62"/>
      <c r="H118" s="142" t="s">
        <v>469</v>
      </c>
      <c r="I118" s="54" t="s">
        <v>39</v>
      </c>
      <c r="J118" s="54"/>
      <c r="K118" s="54" t="s">
        <v>315</v>
      </c>
      <c r="L118" s="31" t="s">
        <v>42</v>
      </c>
      <c r="M118" s="31"/>
      <c r="N118" s="31"/>
      <c r="O118" s="55" t="s">
        <v>290</v>
      </c>
      <c r="P118" s="55" t="s">
        <v>439</v>
      </c>
      <c r="Q118" s="77"/>
      <c r="R118" s="77">
        <v>26400</v>
      </c>
      <c r="S118" s="56">
        <v>176</v>
      </c>
      <c r="T118" s="63">
        <v>44306</v>
      </c>
      <c r="U118" s="64" t="s">
        <v>46</v>
      </c>
      <c r="V118" s="63" t="str">
        <f t="shared" si="10"/>
        <v/>
      </c>
      <c r="W118" s="64" t="str">
        <f t="shared" ca="1" si="9"/>
        <v/>
      </c>
      <c r="X118" s="65"/>
      <c r="Y118" s="65"/>
      <c r="Z118" s="67" t="s">
        <v>48</v>
      </c>
      <c r="AA118" s="67" t="s">
        <v>48</v>
      </c>
      <c r="AB118" s="67"/>
      <c r="AC118" s="67"/>
      <c r="AD118" s="67" t="s">
        <v>48</v>
      </c>
      <c r="AE118" s="67"/>
      <c r="AF118" s="66" t="s">
        <v>48</v>
      </c>
      <c r="AG118" s="66" t="s">
        <v>48</v>
      </c>
      <c r="AH118" s="69"/>
      <c r="AI118" s="69"/>
      <c r="AJ118" s="69"/>
      <c r="AK118" s="69"/>
      <c r="AL118" s="69"/>
      <c r="AM118" s="69"/>
      <c r="AN118" s="69"/>
      <c r="AO118" s="69"/>
      <c r="AP118" s="66" t="s">
        <v>48</v>
      </c>
      <c r="AQ118" s="64" t="str">
        <f ca="1">IF(ALL_02FEB2024[[#This Row],[Days to Contract End]]&lt;=90,"R",IF(AND(ALL_02FEB2024[[#This Row],[Days to Contract End]]&lt;180),"A","G"))</f>
        <v>G</v>
      </c>
      <c r="AR118" s="70" t="s">
        <v>470</v>
      </c>
      <c r="AS118" s="51"/>
      <c r="AT118" s="52"/>
      <c r="AU118" s="52"/>
    </row>
    <row r="119" spans="2:47" ht="30">
      <c r="B119" s="147" t="s">
        <v>157</v>
      </c>
      <c r="C119" s="71">
        <f>IFERROR(VLOOKUP(B119,'QB Consolidated Contacts'!$A$1:$F$333,6),"-")</f>
        <v>0</v>
      </c>
      <c r="D119" s="208" t="s">
        <v>132</v>
      </c>
      <c r="E119" s="62" t="s">
        <v>158</v>
      </c>
      <c r="F119" s="62" t="s">
        <v>44</v>
      </c>
      <c r="G119" s="62"/>
      <c r="H119" s="143" t="s">
        <v>159</v>
      </c>
      <c r="I119" s="54" t="s">
        <v>39</v>
      </c>
      <c r="J119" s="54" t="s">
        <v>40</v>
      </c>
      <c r="K119" s="54" t="s">
        <v>317</v>
      </c>
      <c r="L119" s="31" t="s">
        <v>42</v>
      </c>
      <c r="M119" s="31" t="s">
        <v>40</v>
      </c>
      <c r="N119" s="31" t="s">
        <v>48</v>
      </c>
      <c r="O119" s="55" t="s">
        <v>571</v>
      </c>
      <c r="P119" s="55" t="s">
        <v>439</v>
      </c>
      <c r="Q119" s="77" t="s">
        <v>48</v>
      </c>
      <c r="R119" s="77" t="s">
        <v>48</v>
      </c>
      <c r="S119" s="56" t="s">
        <v>48</v>
      </c>
      <c r="T119" s="63">
        <v>43711</v>
      </c>
      <c r="U119" s="64"/>
      <c r="V119" s="63">
        <f t="shared" si="10"/>
        <v>43711</v>
      </c>
      <c r="W119" s="65">
        <f t="shared" ca="1" si="9"/>
        <v>-2382</v>
      </c>
      <c r="X119" s="65" t="s">
        <v>39</v>
      </c>
      <c r="Y119" s="65"/>
      <c r="Z119" s="67" t="s">
        <v>47</v>
      </c>
      <c r="AA119" s="67" t="s">
        <v>49</v>
      </c>
      <c r="AB119" s="67"/>
      <c r="AC119" s="67"/>
      <c r="AD119" s="67" t="s">
        <v>48</v>
      </c>
      <c r="AE119" s="67"/>
      <c r="AF119" s="66" t="s">
        <v>48</v>
      </c>
      <c r="AG119" s="66" t="s">
        <v>48</v>
      </c>
      <c r="AH119" s="69"/>
      <c r="AI119" s="69"/>
      <c r="AJ119" s="69"/>
      <c r="AK119" s="69"/>
      <c r="AL119" s="69"/>
      <c r="AM119" s="69"/>
      <c r="AN119" s="69"/>
      <c r="AO119" s="69"/>
      <c r="AP119" s="66" t="s">
        <v>48</v>
      </c>
      <c r="AQ119" s="65" t="str">
        <f ca="1">IF(ALL_02FEB2024[[#This Row],[Days to Contract End]]&lt;=90,"R",IF(AND(ALL_02FEB2024[[#This Row],[Days to Contract End]]&lt;180),"A","G"))</f>
        <v>R</v>
      </c>
      <c r="AR119" s="70"/>
      <c r="AS119" s="51"/>
      <c r="AT119" s="52"/>
      <c r="AU119" s="52"/>
    </row>
    <row r="120" spans="2:47" ht="30">
      <c r="B120" s="147" t="s">
        <v>157</v>
      </c>
      <c r="C120" s="71">
        <f>IFERROR(VLOOKUP(B120,'QB Consolidated Contacts'!$A$1:$F$333,6),"-")</f>
        <v>0</v>
      </c>
      <c r="D120" s="208" t="s">
        <v>132</v>
      </c>
      <c r="E120" s="62" t="s">
        <v>158</v>
      </c>
      <c r="F120" s="62" t="s">
        <v>295</v>
      </c>
      <c r="G120" s="62"/>
      <c r="H120" s="143" t="s">
        <v>471</v>
      </c>
      <c r="I120" s="54" t="s">
        <v>39</v>
      </c>
      <c r="J120" s="54"/>
      <c r="K120" s="54" t="s">
        <v>309</v>
      </c>
      <c r="L120" s="31" t="s">
        <v>42</v>
      </c>
      <c r="M120" s="31"/>
      <c r="N120" s="31"/>
      <c r="O120" s="55" t="s">
        <v>48</v>
      </c>
      <c r="P120" s="55"/>
      <c r="Q120" s="77"/>
      <c r="R120" s="77"/>
      <c r="S120" s="56" t="s">
        <v>48</v>
      </c>
      <c r="T120" s="63">
        <v>43711</v>
      </c>
      <c r="U120" s="64" t="s">
        <v>46</v>
      </c>
      <c r="V120" s="63" t="str">
        <f t="shared" si="10"/>
        <v/>
      </c>
      <c r="W120" s="65" t="str">
        <f t="shared" ca="1" si="9"/>
        <v/>
      </c>
      <c r="X120" s="65" t="s">
        <v>39</v>
      </c>
      <c r="Y120" s="65"/>
      <c r="Z120" s="67" t="s">
        <v>47</v>
      </c>
      <c r="AA120" s="67" t="s">
        <v>49</v>
      </c>
      <c r="AB120" s="67"/>
      <c r="AC120" s="67"/>
      <c r="AD120" s="67"/>
      <c r="AE120" s="67"/>
      <c r="AF120" s="66"/>
      <c r="AG120" s="66"/>
      <c r="AH120" s="69"/>
      <c r="AI120" s="69"/>
      <c r="AJ120" s="69"/>
      <c r="AK120" s="69"/>
      <c r="AL120" s="69"/>
      <c r="AM120" s="69"/>
      <c r="AN120" s="69"/>
      <c r="AO120" s="69"/>
      <c r="AP120" s="66"/>
      <c r="AQ120" s="65" t="str">
        <f ca="1">IF(ALL_02FEB2024[[#This Row],[Days to Contract End]]&lt;=90,"R",IF(AND(ALL_02FEB2024[[#This Row],[Days to Contract End]]&lt;180),"A","G"))</f>
        <v>G</v>
      </c>
      <c r="AR120" s="70"/>
      <c r="AS120" s="51"/>
      <c r="AT120" s="52"/>
      <c r="AU120" s="52"/>
    </row>
    <row r="121" spans="2:47" ht="30">
      <c r="B121" s="147" t="s">
        <v>157</v>
      </c>
      <c r="C121" s="71">
        <f>IFERROR(VLOOKUP(B121,'QB Consolidated Contacts'!$A$1:$F$333,6),"-")</f>
        <v>0</v>
      </c>
      <c r="D121" s="208" t="s">
        <v>132</v>
      </c>
      <c r="E121" s="62" t="s">
        <v>158</v>
      </c>
      <c r="F121" s="62" t="s">
        <v>288</v>
      </c>
      <c r="G121" s="62"/>
      <c r="H121" s="143" t="s">
        <v>477</v>
      </c>
      <c r="I121" s="54" t="s">
        <v>39</v>
      </c>
      <c r="J121" s="54"/>
      <c r="K121" s="54" t="s">
        <v>315</v>
      </c>
      <c r="L121" s="31" t="s">
        <v>51</v>
      </c>
      <c r="M121" s="31" t="s">
        <v>39</v>
      </c>
      <c r="N121" s="31">
        <v>1000012449</v>
      </c>
      <c r="O121" s="55" t="s">
        <v>290</v>
      </c>
      <c r="P121" s="55"/>
      <c r="Q121" s="77" t="s">
        <v>48</v>
      </c>
      <c r="R121" s="77">
        <v>7000</v>
      </c>
      <c r="S121" s="56">
        <v>40</v>
      </c>
      <c r="T121" s="63">
        <v>44704</v>
      </c>
      <c r="U121" s="64" t="s">
        <v>282</v>
      </c>
      <c r="V121" s="63" t="str">
        <f t="shared" si="10"/>
        <v/>
      </c>
      <c r="W121" s="64" t="str">
        <f t="shared" ca="1" si="9"/>
        <v/>
      </c>
      <c r="X121" s="65"/>
      <c r="Y121" s="65"/>
      <c r="Z121" s="67"/>
      <c r="AA121" s="67"/>
      <c r="AB121" s="67"/>
      <c r="AC121" s="67"/>
      <c r="AD121" s="67"/>
      <c r="AE121" s="67"/>
      <c r="AF121" s="66"/>
      <c r="AG121" s="66"/>
      <c r="AH121" s="69"/>
      <c r="AI121" s="69"/>
      <c r="AJ121" s="69"/>
      <c r="AK121" s="69"/>
      <c r="AL121" s="69"/>
      <c r="AM121" s="69"/>
      <c r="AN121" s="69"/>
      <c r="AO121" s="69"/>
      <c r="AP121" s="66"/>
      <c r="AQ121" s="65" t="str">
        <f ca="1">IF(ALL_02FEB2024[[#This Row],[Days to Contract End]]&lt;=90,"R",IF(AND(ALL_02FEB2024[[#This Row],[Days to Contract End]]&lt;180),"A","G"))</f>
        <v>G</v>
      </c>
      <c r="AR121" s="70"/>
      <c r="AS121" s="51"/>
      <c r="AT121" s="52"/>
      <c r="AU121" s="52"/>
    </row>
    <row r="122" spans="2:47" ht="30">
      <c r="B122" s="147" t="s">
        <v>157</v>
      </c>
      <c r="C122" s="71">
        <f>IFERROR(VLOOKUP(B122,'QB Consolidated Contacts'!$A$1:$F$333,6),"-")</f>
        <v>0</v>
      </c>
      <c r="D122" s="208" t="s">
        <v>132</v>
      </c>
      <c r="E122" s="62" t="s">
        <v>158</v>
      </c>
      <c r="F122" s="62" t="s">
        <v>288</v>
      </c>
      <c r="G122" s="62"/>
      <c r="H122" s="143" t="s">
        <v>472</v>
      </c>
      <c r="I122" s="54" t="s">
        <v>39</v>
      </c>
      <c r="J122" s="54"/>
      <c r="K122" s="54" t="s">
        <v>309</v>
      </c>
      <c r="L122" s="31" t="s">
        <v>51</v>
      </c>
      <c r="M122" s="31"/>
      <c r="N122" s="31"/>
      <c r="O122" s="55" t="s">
        <v>290</v>
      </c>
      <c r="P122" s="55"/>
      <c r="Q122" s="77"/>
      <c r="R122" s="77"/>
      <c r="S122" s="56">
        <v>8</v>
      </c>
      <c r="T122" s="63">
        <v>44704</v>
      </c>
      <c r="U122" s="64" t="s">
        <v>46</v>
      </c>
      <c r="V122" s="63" t="str">
        <f t="shared" si="10"/>
        <v/>
      </c>
      <c r="W122" s="64" t="str">
        <f t="shared" ca="1" si="9"/>
        <v/>
      </c>
      <c r="X122" s="65"/>
      <c r="Y122" s="65"/>
      <c r="Z122" s="67" t="s">
        <v>48</v>
      </c>
      <c r="AA122" s="67" t="s">
        <v>48</v>
      </c>
      <c r="AB122" s="67"/>
      <c r="AC122" s="67"/>
      <c r="AD122" s="67" t="s">
        <v>48</v>
      </c>
      <c r="AE122" s="67"/>
      <c r="AF122" s="66" t="s">
        <v>48</v>
      </c>
      <c r="AG122" s="66" t="s">
        <v>48</v>
      </c>
      <c r="AH122" s="69"/>
      <c r="AI122" s="69"/>
      <c r="AJ122" s="69"/>
      <c r="AK122" s="69"/>
      <c r="AL122" s="69"/>
      <c r="AM122" s="69"/>
      <c r="AN122" s="69"/>
      <c r="AO122" s="69"/>
      <c r="AP122" s="66" t="s">
        <v>48</v>
      </c>
      <c r="AQ122" s="65" t="str">
        <f ca="1">IF(ALL_02FEB2024[[#This Row],[Days to Contract End]]&lt;=90,"R",IF(AND(ALL_02FEB2024[[#This Row],[Days to Contract End]]&lt;180),"A","G"))</f>
        <v>G</v>
      </c>
      <c r="AR122" s="70" t="s">
        <v>473</v>
      </c>
      <c r="AS122" s="51"/>
      <c r="AT122" s="52"/>
      <c r="AU122" s="52"/>
    </row>
    <row r="123" spans="2:47" ht="30">
      <c r="B123" s="147" t="s">
        <v>157</v>
      </c>
      <c r="C123" s="71">
        <f>IFERROR(VLOOKUP(B123,'QB Consolidated Contacts'!$A$1:$F$333,6),"-")</f>
        <v>0</v>
      </c>
      <c r="D123" s="208" t="s">
        <v>132</v>
      </c>
      <c r="E123" s="62" t="s">
        <v>158</v>
      </c>
      <c r="F123" s="62" t="s">
        <v>356</v>
      </c>
      <c r="G123" s="62"/>
      <c r="H123" s="144" t="s">
        <v>476</v>
      </c>
      <c r="I123" s="54" t="s">
        <v>39</v>
      </c>
      <c r="J123" s="54" t="s">
        <v>39</v>
      </c>
      <c r="K123" s="54" t="s">
        <v>315</v>
      </c>
      <c r="L123" s="31" t="s">
        <v>51</v>
      </c>
      <c r="M123" s="31"/>
      <c r="N123" s="31"/>
      <c r="O123" s="55"/>
      <c r="P123" s="55"/>
      <c r="Q123" s="77"/>
      <c r="R123" s="77"/>
      <c r="S123" s="56">
        <v>50</v>
      </c>
      <c r="T123" s="63">
        <v>45124</v>
      </c>
      <c r="U123" s="64">
        <v>12</v>
      </c>
      <c r="V123" s="63">
        <f>IFERROR(EDATE(T123,U123),"")</f>
        <v>45490</v>
      </c>
      <c r="W123" s="64">
        <f ca="1">IFERROR(V123-TODAY(),"")</f>
        <v>-603</v>
      </c>
      <c r="X123" s="65"/>
      <c r="Y123" s="65"/>
      <c r="Z123" s="67"/>
      <c r="AA123" s="67"/>
      <c r="AB123" s="67"/>
      <c r="AC123" s="67"/>
      <c r="AD123" s="67"/>
      <c r="AE123" s="67"/>
      <c r="AF123" s="66"/>
      <c r="AG123" s="66"/>
      <c r="AH123" s="69"/>
      <c r="AI123" s="69"/>
      <c r="AJ123" s="69"/>
      <c r="AK123" s="69"/>
      <c r="AL123" s="69"/>
      <c r="AM123" s="69"/>
      <c r="AN123" s="69"/>
      <c r="AO123" s="69"/>
      <c r="AP123" s="66"/>
      <c r="AQ123" s="64" t="str">
        <f ca="1">IF(ALL_02FEB2024[[#This Row],[Days to Contract End]]&lt;=90,"R",IF(AND(ALL_02FEB2024[[#This Row],[Days to Contract End]]&lt;180),"A","G"))</f>
        <v>R</v>
      </c>
      <c r="AR123" s="70"/>
      <c r="AS123" s="51"/>
      <c r="AT123" s="52"/>
      <c r="AU123" s="52"/>
    </row>
    <row r="124" spans="2:47" ht="30">
      <c r="B124" s="147" t="s">
        <v>160</v>
      </c>
      <c r="C124" s="71">
        <f>IFERROR(VLOOKUP(B124,'QB Consolidated Contacts'!$A$1:$F$333,6),"-")</f>
        <v>0</v>
      </c>
      <c r="D124" s="208"/>
      <c r="E124" s="62" t="s">
        <v>66</v>
      </c>
      <c r="F124" s="62" t="s">
        <v>44</v>
      </c>
      <c r="G124" s="62"/>
      <c r="H124" s="143" t="s">
        <v>161</v>
      </c>
      <c r="I124" s="54" t="s">
        <v>39</v>
      </c>
      <c r="J124" s="54"/>
      <c r="K124" s="54"/>
      <c r="L124" s="31" t="s">
        <v>42</v>
      </c>
      <c r="M124" s="31"/>
      <c r="N124" s="31"/>
      <c r="O124" s="55" t="s">
        <v>48</v>
      </c>
      <c r="P124" s="55"/>
      <c r="Q124" s="77"/>
      <c r="R124" s="77"/>
      <c r="S124" s="56"/>
      <c r="T124" s="63">
        <v>42411</v>
      </c>
      <c r="U124" s="64">
        <v>24</v>
      </c>
      <c r="V124" s="63">
        <f t="shared" si="10"/>
        <v>43142</v>
      </c>
      <c r="W124" s="64">
        <f t="shared" ca="1" si="9"/>
        <v>-2951</v>
      </c>
      <c r="X124" s="65"/>
      <c r="Y124" s="65"/>
      <c r="Z124" s="67"/>
      <c r="AA124" s="67"/>
      <c r="AB124" s="67"/>
      <c r="AC124" s="67"/>
      <c r="AD124" s="67"/>
      <c r="AE124" s="67"/>
      <c r="AF124" s="66"/>
      <c r="AG124" s="66"/>
      <c r="AH124" s="69"/>
      <c r="AI124" s="69"/>
      <c r="AJ124" s="69"/>
      <c r="AK124" s="69"/>
      <c r="AL124" s="69"/>
      <c r="AM124" s="69"/>
      <c r="AN124" s="69"/>
      <c r="AO124" s="69"/>
      <c r="AP124" s="66"/>
      <c r="AQ124" s="65" t="str">
        <f ca="1">IF(ALL_02FEB2024[[#This Row],[Days to Contract End]]&lt;=90,"R",IF(AND(ALL_02FEB2024[[#This Row],[Days to Contract End]]&lt;180),"A","G"))</f>
        <v>R</v>
      </c>
      <c r="AR124" s="70"/>
      <c r="AS124" s="51"/>
      <c r="AT124" s="52"/>
      <c r="AU124" s="52"/>
    </row>
    <row r="125" spans="2:47" ht="30">
      <c r="B125" s="147" t="s">
        <v>160</v>
      </c>
      <c r="C125" s="71">
        <f>IFERROR(VLOOKUP(B125,'QB Consolidated Contacts'!$A$1:$F$333,6),"-")</f>
        <v>0</v>
      </c>
      <c r="D125" s="208"/>
      <c r="E125" s="62" t="s">
        <v>43</v>
      </c>
      <c r="F125" s="62" t="s">
        <v>44</v>
      </c>
      <c r="G125" s="62"/>
      <c r="H125" s="143" t="s">
        <v>45</v>
      </c>
      <c r="I125" s="54" t="s">
        <v>40</v>
      </c>
      <c r="J125" s="54"/>
      <c r="K125" s="54" t="s">
        <v>315</v>
      </c>
      <c r="L125" s="31" t="s">
        <v>42</v>
      </c>
      <c r="M125" s="31"/>
      <c r="N125" s="31"/>
      <c r="O125" s="55" t="s">
        <v>48</v>
      </c>
      <c r="P125" s="55"/>
      <c r="Q125" s="77"/>
      <c r="R125" s="77"/>
      <c r="S125" s="56" t="s">
        <v>48</v>
      </c>
      <c r="T125" s="63"/>
      <c r="U125" s="64"/>
      <c r="V125" s="63">
        <f t="shared" si="10"/>
        <v>0</v>
      </c>
      <c r="W125" s="64">
        <f t="shared" ca="1" si="9"/>
        <v>-46093</v>
      </c>
      <c r="X125" s="65"/>
      <c r="Y125" s="65"/>
      <c r="Z125" s="67"/>
      <c r="AA125" s="67"/>
      <c r="AB125" s="67"/>
      <c r="AC125" s="67"/>
      <c r="AD125" s="67"/>
      <c r="AE125" s="67"/>
      <c r="AF125" s="66"/>
      <c r="AG125" s="66"/>
      <c r="AH125" s="69"/>
      <c r="AI125" s="69"/>
      <c r="AJ125" s="69"/>
      <c r="AK125" s="69"/>
      <c r="AL125" s="69"/>
      <c r="AM125" s="69"/>
      <c r="AN125" s="69"/>
      <c r="AO125" s="69"/>
      <c r="AP125" s="66"/>
      <c r="AQ125" s="65" t="str">
        <f ca="1">IF(ALL_02FEB2024[[#This Row],[Days to Contract End]]&lt;=90,"R",IF(AND(ALL_02FEB2024[[#This Row],[Days to Contract End]]&lt;180),"A","G"))</f>
        <v>R</v>
      </c>
      <c r="AR125" s="70"/>
      <c r="AS125" s="51"/>
      <c r="AT125" s="52"/>
      <c r="AU125" s="52"/>
    </row>
    <row r="126" spans="2:47" ht="30">
      <c r="B126" s="147" t="s">
        <v>160</v>
      </c>
      <c r="C126" s="71">
        <f>IFERROR(VLOOKUP(B126,'QB Consolidated Contacts'!$A$1:$F$333,6),"-")</f>
        <v>0</v>
      </c>
      <c r="D126" s="208"/>
      <c r="E126" s="62"/>
      <c r="F126" s="62" t="s">
        <v>108</v>
      </c>
      <c r="G126" s="62"/>
      <c r="H126" s="149" t="s">
        <v>162</v>
      </c>
      <c r="I126" s="54" t="s">
        <v>40</v>
      </c>
      <c r="J126" s="54"/>
      <c r="K126" s="54" t="s">
        <v>108</v>
      </c>
      <c r="L126" s="31"/>
      <c r="M126" s="31"/>
      <c r="N126" s="31"/>
      <c r="O126" s="55" t="s">
        <v>290</v>
      </c>
      <c r="P126" s="55"/>
      <c r="Q126" s="77"/>
      <c r="R126" s="77"/>
      <c r="S126" s="56">
        <v>160</v>
      </c>
      <c r="T126" s="63"/>
      <c r="U126" s="64"/>
      <c r="V126" s="63">
        <f t="shared" si="10"/>
        <v>0</v>
      </c>
      <c r="W126" s="64">
        <f t="shared" ca="1" si="9"/>
        <v>-46093</v>
      </c>
      <c r="X126" s="65"/>
      <c r="Y126" s="65"/>
      <c r="Z126" s="67" t="s">
        <v>48</v>
      </c>
      <c r="AA126" s="67" t="s">
        <v>48</v>
      </c>
      <c r="AB126" s="67"/>
      <c r="AC126" s="67"/>
      <c r="AD126" s="67" t="s">
        <v>48</v>
      </c>
      <c r="AE126" s="67"/>
      <c r="AF126" s="66" t="s">
        <v>48</v>
      </c>
      <c r="AG126" s="66" t="s">
        <v>48</v>
      </c>
      <c r="AH126" s="69"/>
      <c r="AI126" s="69"/>
      <c r="AJ126" s="69"/>
      <c r="AK126" s="69"/>
      <c r="AL126" s="69"/>
      <c r="AM126" s="69"/>
      <c r="AN126" s="69"/>
      <c r="AO126" s="69"/>
      <c r="AP126" s="66" t="s">
        <v>48</v>
      </c>
      <c r="AQ126" s="65" t="str">
        <f ca="1">IF(ALL_02FEB2024[[#This Row],[Days to Contract End]]&lt;=90,"R",IF(AND(ALL_02FEB2024[[#This Row],[Days to Contract End]]&lt;180),"A","G"))</f>
        <v>R</v>
      </c>
      <c r="AR126" s="70" t="s">
        <v>163</v>
      </c>
      <c r="AS126" s="51"/>
      <c r="AT126" s="52"/>
      <c r="AU126" s="52"/>
    </row>
    <row r="127" spans="2:47" ht="30">
      <c r="B127" s="147" t="s">
        <v>164</v>
      </c>
      <c r="C127" s="71">
        <f>IFERROR(VLOOKUP(B127,'QB Consolidated Contacts'!$A$1:$F$333,6),"-")</f>
        <v>0</v>
      </c>
      <c r="D127" s="208"/>
      <c r="E127" s="62" t="s">
        <v>43</v>
      </c>
      <c r="F127" s="62" t="s">
        <v>44</v>
      </c>
      <c r="G127" s="62"/>
      <c r="H127" s="143" t="s">
        <v>45</v>
      </c>
      <c r="I127" s="54" t="s">
        <v>39</v>
      </c>
      <c r="J127" s="54" t="s">
        <v>39</v>
      </c>
      <c r="K127" s="54" t="s">
        <v>315</v>
      </c>
      <c r="L127" s="31" t="s">
        <v>42</v>
      </c>
      <c r="M127" s="31"/>
      <c r="N127" s="31"/>
      <c r="O127" s="55" t="s">
        <v>290</v>
      </c>
      <c r="P127" s="55" t="s">
        <v>439</v>
      </c>
      <c r="Q127" s="77"/>
      <c r="R127" s="77"/>
      <c r="S127" s="56"/>
      <c r="T127" s="63">
        <v>44927</v>
      </c>
      <c r="U127" s="64" t="s">
        <v>46</v>
      </c>
      <c r="V127" s="63" t="str">
        <f t="shared" si="10"/>
        <v/>
      </c>
      <c r="W127" s="65" t="str">
        <f t="shared" ca="1" si="9"/>
        <v/>
      </c>
      <c r="X127" s="65" t="s">
        <v>39</v>
      </c>
      <c r="Y127" s="65"/>
      <c r="Z127" s="67" t="s">
        <v>47</v>
      </c>
      <c r="AA127" s="67" t="s">
        <v>49</v>
      </c>
      <c r="AB127" s="67"/>
      <c r="AC127" s="67"/>
      <c r="AD127" s="67"/>
      <c r="AE127" s="67"/>
      <c r="AF127" s="66"/>
      <c r="AG127" s="66"/>
      <c r="AH127" s="69"/>
      <c r="AI127" s="69"/>
      <c r="AJ127" s="69"/>
      <c r="AK127" s="69"/>
      <c r="AL127" s="69"/>
      <c r="AM127" s="69"/>
      <c r="AN127" s="69"/>
      <c r="AO127" s="69"/>
      <c r="AP127" s="66"/>
      <c r="AQ127" s="65" t="str">
        <f ca="1">IF(ALL_02FEB2024[[#This Row],[Days to Contract End]]&lt;=90,"R",IF(AND(ALL_02FEB2024[[#This Row],[Days to Contract End]]&lt;180),"A","G"))</f>
        <v>G</v>
      </c>
      <c r="AR127" s="70"/>
      <c r="AS127" s="51"/>
      <c r="AT127" s="52"/>
      <c r="AU127" s="52"/>
    </row>
    <row r="128" spans="2:47" ht="30">
      <c r="B128" s="147" t="s">
        <v>164</v>
      </c>
      <c r="C128" s="71">
        <f>IFERROR(VLOOKUP(B128,'QB Consolidated Contacts'!$A$1:$F$333,6),"-")</f>
        <v>0</v>
      </c>
      <c r="D128" s="208"/>
      <c r="E128" s="62" t="s">
        <v>66</v>
      </c>
      <c r="F128" s="62" t="s">
        <v>44</v>
      </c>
      <c r="G128" s="221"/>
      <c r="H128" s="232" t="s">
        <v>165</v>
      </c>
      <c r="I128" s="54" t="s">
        <v>39</v>
      </c>
      <c r="J128" s="54" t="s">
        <v>39</v>
      </c>
      <c r="K128" s="54" t="s">
        <v>347</v>
      </c>
      <c r="L128" s="31" t="s">
        <v>42</v>
      </c>
      <c r="M128" s="31"/>
      <c r="N128" s="31"/>
      <c r="O128" s="55"/>
      <c r="P128" s="55"/>
      <c r="Q128" s="77"/>
      <c r="R128" s="77"/>
      <c r="S128" s="56"/>
      <c r="T128" s="63"/>
      <c r="U128" s="64"/>
      <c r="V128" s="63">
        <f t="shared" si="10"/>
        <v>0</v>
      </c>
      <c r="W128" s="64">
        <f t="shared" ca="1" si="9"/>
        <v>-46093</v>
      </c>
      <c r="X128" s="65"/>
      <c r="Y128" s="65"/>
      <c r="Z128" s="67"/>
      <c r="AA128" s="67"/>
      <c r="AB128" s="67"/>
      <c r="AC128" s="67"/>
      <c r="AD128" s="67"/>
      <c r="AE128" s="67"/>
      <c r="AF128" s="66"/>
      <c r="AG128" s="66"/>
      <c r="AH128" s="69"/>
      <c r="AI128" s="69"/>
      <c r="AJ128" s="69"/>
      <c r="AK128" s="69"/>
      <c r="AL128" s="69"/>
      <c r="AM128" s="69"/>
      <c r="AN128" s="69"/>
      <c r="AO128" s="69"/>
      <c r="AP128" s="66"/>
      <c r="AQ128" s="65" t="str">
        <f ca="1">IF(ALL_02FEB2024[[#This Row],[Days to Contract End]]&lt;=90,"R",IF(AND(ALL_02FEB2024[[#This Row],[Days to Contract End]]&lt;180),"A","G"))</f>
        <v>R</v>
      </c>
      <c r="AR128" s="70"/>
      <c r="AS128" s="51"/>
      <c r="AT128" s="52"/>
      <c r="AU128" s="52"/>
    </row>
    <row r="129" spans="2:47" ht="45">
      <c r="B129" s="154" t="s">
        <v>164</v>
      </c>
      <c r="C129" s="71">
        <f>IFERROR(VLOOKUP(B129,'QB Consolidated Contacts'!$A$1:$F$333,6),"-")</f>
        <v>0</v>
      </c>
      <c r="D129" s="208"/>
      <c r="E129" s="62" t="s">
        <v>158</v>
      </c>
      <c r="F129" s="62" t="s">
        <v>480</v>
      </c>
      <c r="G129" s="62"/>
      <c r="H129" s="150" t="s">
        <v>481</v>
      </c>
      <c r="I129" s="54" t="s">
        <v>39</v>
      </c>
      <c r="J129" s="54" t="s">
        <v>39</v>
      </c>
      <c r="K129" s="54" t="s">
        <v>315</v>
      </c>
      <c r="L129" s="31" t="s">
        <v>42</v>
      </c>
      <c r="M129" s="31"/>
      <c r="N129" s="31"/>
      <c r="O129" s="55"/>
      <c r="P129" s="55"/>
      <c r="Q129" s="77"/>
      <c r="R129" s="77"/>
      <c r="S129" s="56"/>
      <c r="T129" s="63">
        <v>45141</v>
      </c>
      <c r="U129" s="64"/>
      <c r="V129" s="63">
        <f>IFERROR(EDATE(T129,U129),"")</f>
        <v>45141</v>
      </c>
      <c r="W129" s="64">
        <f ca="1">IFERROR(V129-TODAY(),"")</f>
        <v>-952</v>
      </c>
      <c r="X129" s="65"/>
      <c r="Y129" s="65"/>
      <c r="Z129" s="67"/>
      <c r="AA129" s="67"/>
      <c r="AB129" s="67"/>
      <c r="AC129" s="67"/>
      <c r="AD129" s="67"/>
      <c r="AE129" s="67"/>
      <c r="AF129" s="66"/>
      <c r="AG129" s="66"/>
      <c r="AH129" s="69"/>
      <c r="AI129" s="69"/>
      <c r="AJ129" s="69"/>
      <c r="AK129" s="69"/>
      <c r="AL129" s="69"/>
      <c r="AM129" s="69"/>
      <c r="AN129" s="69"/>
      <c r="AO129" s="69"/>
      <c r="AP129" s="66"/>
      <c r="AQ129" s="64" t="str">
        <f ca="1">IF(ALL_02FEB2024[[#This Row],[Days to Contract End]]&lt;=90,"R",IF(AND(ALL_02FEB2024[[#This Row],[Days to Contract End]]&lt;180),"A","G"))</f>
        <v>R</v>
      </c>
      <c r="AR129" s="70"/>
      <c r="AS129" s="51"/>
      <c r="AT129" s="52"/>
      <c r="AU129" s="52"/>
    </row>
    <row r="130" spans="2:47" ht="30">
      <c r="B130" s="154" t="s">
        <v>164</v>
      </c>
      <c r="C130" s="71">
        <f>IFERROR(VLOOKUP(B130,'QB Consolidated Contacts'!$A$1:$F$333,6),"-")</f>
        <v>0</v>
      </c>
      <c r="D130" s="208" t="s">
        <v>174</v>
      </c>
      <c r="E130" s="62" t="s">
        <v>158</v>
      </c>
      <c r="F130" s="62" t="s">
        <v>175</v>
      </c>
      <c r="G130" s="62"/>
      <c r="H130" s="142" t="s">
        <v>482</v>
      </c>
      <c r="I130" s="54" t="s">
        <v>39</v>
      </c>
      <c r="J130" s="54"/>
      <c r="K130" s="54" t="s">
        <v>315</v>
      </c>
      <c r="L130" s="31" t="s">
        <v>42</v>
      </c>
      <c r="M130" s="31" t="s">
        <v>108</v>
      </c>
      <c r="N130" s="114" t="s">
        <v>483</v>
      </c>
      <c r="O130" s="55" t="s">
        <v>290</v>
      </c>
      <c r="P130" s="55" t="s">
        <v>439</v>
      </c>
      <c r="Q130" s="77">
        <v>21625</v>
      </c>
      <c r="R130" s="77">
        <f>ALL_02FEB2024[[#This Row],[Monthly Budget]]*6</f>
        <v>129750</v>
      </c>
      <c r="S130" s="56" t="s">
        <v>292</v>
      </c>
      <c r="T130" s="63">
        <v>44929</v>
      </c>
      <c r="U130" s="64">
        <v>6</v>
      </c>
      <c r="V130" s="63">
        <f t="shared" si="10"/>
        <v>45110</v>
      </c>
      <c r="W130" s="64">
        <f t="shared" ca="1" si="9"/>
        <v>-983</v>
      </c>
      <c r="X130" s="65"/>
      <c r="Y130" s="65"/>
      <c r="Z130" s="67"/>
      <c r="AA130" s="67"/>
      <c r="AB130" s="67"/>
      <c r="AC130" s="67"/>
      <c r="AD130" s="67"/>
      <c r="AE130" s="67"/>
      <c r="AF130" s="66"/>
      <c r="AG130" s="66"/>
      <c r="AH130" s="69"/>
      <c r="AI130" s="69"/>
      <c r="AJ130" s="69"/>
      <c r="AK130" s="69"/>
      <c r="AL130" s="69"/>
      <c r="AM130" s="69"/>
      <c r="AN130" s="69"/>
      <c r="AO130" s="69"/>
      <c r="AP130" s="66"/>
      <c r="AQ130" s="65" t="str">
        <f ca="1">IF(ALL_02FEB2024[[#This Row],[Days to Contract End]]&lt;=90,"R",IF(AND(ALL_02FEB2024[[#This Row],[Days to Contract End]]&lt;180),"A","G"))</f>
        <v>R</v>
      </c>
      <c r="AR130" s="70"/>
      <c r="AS130" s="51"/>
      <c r="AT130" s="52"/>
      <c r="AU130" s="52"/>
    </row>
    <row r="131" spans="2:47" ht="30">
      <c r="B131" s="154" t="s">
        <v>166</v>
      </c>
      <c r="C131" s="71">
        <f>IFERROR(VLOOKUP(B131,'QB Consolidated Contacts'!$A$1:$F$333,6),"-")</f>
        <v>0</v>
      </c>
      <c r="D131" s="208"/>
      <c r="E131" s="62" t="s">
        <v>124</v>
      </c>
      <c r="F131" s="62" t="s">
        <v>44</v>
      </c>
      <c r="G131" s="62"/>
      <c r="H131" s="142" t="s">
        <v>167</v>
      </c>
      <c r="I131" s="54" t="s">
        <v>39</v>
      </c>
      <c r="J131" s="54" t="s">
        <v>39</v>
      </c>
      <c r="K131" s="54" t="s">
        <v>108</v>
      </c>
      <c r="L131" s="31" t="s">
        <v>51</v>
      </c>
      <c r="M131" s="31"/>
      <c r="N131" s="31"/>
      <c r="O131" s="55"/>
      <c r="P131" s="55" t="s">
        <v>439</v>
      </c>
      <c r="Q131" s="77">
        <f>ALL_02FEB2024[[#This Row],[Total Budget]]/32</f>
        <v>5053.125</v>
      </c>
      <c r="R131" s="77">
        <v>161700</v>
      </c>
      <c r="S131" s="56"/>
      <c r="T131" s="63">
        <v>45031</v>
      </c>
      <c r="U131" s="64" t="s">
        <v>46</v>
      </c>
      <c r="V131" s="63" t="str">
        <f t="shared" si="10"/>
        <v/>
      </c>
      <c r="W131" s="65" t="str">
        <f t="shared" ca="1" si="9"/>
        <v/>
      </c>
      <c r="X131" s="65" t="s">
        <v>39</v>
      </c>
      <c r="Y131" s="65"/>
      <c r="Z131" s="67" t="s">
        <v>47</v>
      </c>
      <c r="AA131" s="67" t="s">
        <v>49</v>
      </c>
      <c r="AB131" s="67"/>
      <c r="AC131" s="67"/>
      <c r="AD131" s="67"/>
      <c r="AE131" s="67"/>
      <c r="AF131" s="66"/>
      <c r="AG131" s="66"/>
      <c r="AH131" s="69"/>
      <c r="AI131" s="69"/>
      <c r="AJ131" s="69"/>
      <c r="AK131" s="69"/>
      <c r="AL131" s="69"/>
      <c r="AM131" s="69"/>
      <c r="AN131" s="69"/>
      <c r="AO131" s="69"/>
      <c r="AP131" s="66"/>
      <c r="AQ131" s="65" t="str">
        <f ca="1">IF(ALL_02FEB2024[[#This Row],[Days to Contract End]]&lt;=90,"R",IF(AND(ALL_02FEB2024[[#This Row],[Days to Contract End]]&lt;180),"A","G"))</f>
        <v>G</v>
      </c>
      <c r="AR131" s="70"/>
      <c r="AS131" s="51"/>
      <c r="AT131" s="52"/>
      <c r="AU131" s="52"/>
    </row>
    <row r="132" spans="2:47" ht="30">
      <c r="B132" s="154" t="s">
        <v>166</v>
      </c>
      <c r="C132" s="71">
        <f>IFERROR(VLOOKUP(B132,'QB Consolidated Contacts'!$A$1:$F$333,6),"-")</f>
        <v>0</v>
      </c>
      <c r="D132" s="208" t="s">
        <v>174</v>
      </c>
      <c r="E132" s="62" t="s">
        <v>158</v>
      </c>
      <c r="F132" s="62" t="s">
        <v>175</v>
      </c>
      <c r="G132" s="62"/>
      <c r="H132" s="142" t="s">
        <v>484</v>
      </c>
      <c r="I132" s="54" t="s">
        <v>40</v>
      </c>
      <c r="J132" s="54"/>
      <c r="K132" s="54" t="s">
        <v>309</v>
      </c>
      <c r="L132" s="31" t="s">
        <v>42</v>
      </c>
      <c r="M132" s="31"/>
      <c r="N132" s="31"/>
      <c r="O132" s="55" t="s">
        <v>383</v>
      </c>
      <c r="P132" s="55"/>
      <c r="Q132" s="77"/>
      <c r="R132" s="77"/>
      <c r="S132" s="56"/>
      <c r="T132" s="63">
        <v>44732</v>
      </c>
      <c r="U132" s="64" t="s">
        <v>46</v>
      </c>
      <c r="V132" s="63" t="str">
        <f t="shared" si="10"/>
        <v/>
      </c>
      <c r="W132" s="65" t="str">
        <f t="shared" ca="1" si="9"/>
        <v/>
      </c>
      <c r="X132" s="65"/>
      <c r="Y132" s="65"/>
      <c r="Z132" s="67" t="s">
        <v>48</v>
      </c>
      <c r="AA132" s="67" t="s">
        <v>48</v>
      </c>
      <c r="AB132" s="67"/>
      <c r="AC132" s="67"/>
      <c r="AD132" s="67" t="s">
        <v>48</v>
      </c>
      <c r="AE132" s="67"/>
      <c r="AF132" s="66" t="s">
        <v>48</v>
      </c>
      <c r="AG132" s="66" t="s">
        <v>48</v>
      </c>
      <c r="AH132" s="69"/>
      <c r="AI132" s="69"/>
      <c r="AJ132" s="69"/>
      <c r="AK132" s="69"/>
      <c r="AL132" s="69"/>
      <c r="AM132" s="69"/>
      <c r="AN132" s="69"/>
      <c r="AO132" s="69"/>
      <c r="AP132" s="66" t="s">
        <v>48</v>
      </c>
      <c r="AQ132" s="65" t="str">
        <f ca="1">IF(ALL_02FEB2024[[#This Row],[Days to Contract End]]&lt;=90,"R",IF(AND(ALL_02FEB2024[[#This Row],[Days to Contract End]]&lt;180),"A","G"))</f>
        <v>G</v>
      </c>
      <c r="AR132" s="70" t="s">
        <v>486</v>
      </c>
      <c r="AS132" s="51"/>
      <c r="AT132" s="52"/>
      <c r="AU132" s="52"/>
    </row>
    <row r="133" spans="2:47" ht="30">
      <c r="B133" s="154" t="s">
        <v>166</v>
      </c>
      <c r="C133" s="71">
        <f>IFERROR(VLOOKUP(B133,'QB Consolidated Contacts'!$A$1:$F$333,6),"-")</f>
        <v>0</v>
      </c>
      <c r="D133" s="208" t="s">
        <v>174</v>
      </c>
      <c r="E133" s="62" t="s">
        <v>158</v>
      </c>
      <c r="F133" s="62" t="s">
        <v>175</v>
      </c>
      <c r="G133" s="62"/>
      <c r="H133" s="142" t="s">
        <v>487</v>
      </c>
      <c r="I133" s="54" t="s">
        <v>39</v>
      </c>
      <c r="J133" s="54"/>
      <c r="K133" s="54" t="s">
        <v>309</v>
      </c>
      <c r="L133" s="31" t="s">
        <v>42</v>
      </c>
      <c r="M133" s="31"/>
      <c r="N133" s="31"/>
      <c r="O133" s="55"/>
      <c r="P133" s="55"/>
      <c r="Q133" s="77"/>
      <c r="R133" s="77"/>
      <c r="S133" s="56"/>
      <c r="T133" s="63">
        <v>44235</v>
      </c>
      <c r="U133" s="64">
        <v>25</v>
      </c>
      <c r="V133" s="63">
        <f t="shared" si="10"/>
        <v>44993</v>
      </c>
      <c r="W133" s="64">
        <f t="shared" ca="1" si="9"/>
        <v>-1100</v>
      </c>
      <c r="X133" s="65"/>
      <c r="Y133" s="65"/>
      <c r="Z133" s="67"/>
      <c r="AA133" s="67"/>
      <c r="AB133" s="67"/>
      <c r="AC133" s="67"/>
      <c r="AD133" s="67"/>
      <c r="AE133" s="67"/>
      <c r="AF133" s="66"/>
      <c r="AG133" s="66"/>
      <c r="AH133" s="69"/>
      <c r="AI133" s="69"/>
      <c r="AJ133" s="69"/>
      <c r="AK133" s="69"/>
      <c r="AL133" s="69"/>
      <c r="AM133" s="69"/>
      <c r="AN133" s="69"/>
      <c r="AO133" s="69"/>
      <c r="AP133" s="66"/>
      <c r="AQ133" s="65" t="str">
        <f ca="1">IF(ALL_02FEB2024[[#This Row],[Days to Contract End]]&lt;=90,"R",IF(AND(ALL_02FEB2024[[#This Row],[Days to Contract End]]&lt;180),"A","G"))</f>
        <v>R</v>
      </c>
      <c r="AR133" s="70"/>
      <c r="AS133" s="51"/>
      <c r="AT133" s="52"/>
      <c r="AU133" s="52"/>
    </row>
    <row r="134" spans="2:47" ht="45">
      <c r="B134" s="147" t="s">
        <v>168</v>
      </c>
      <c r="C134" s="71" t="str">
        <f>IFERROR(VLOOKUP(#REF!,'QB Consolidated Contacts'!$A$1:$F$333,6),"-")</f>
        <v>-</v>
      </c>
      <c r="D134" s="208" t="s">
        <v>132</v>
      </c>
      <c r="E134" s="62" t="s">
        <v>169</v>
      </c>
      <c r="F134" s="62" t="s">
        <v>175</v>
      </c>
      <c r="G134" s="62"/>
      <c r="H134" s="144" t="s">
        <v>170</v>
      </c>
      <c r="I134" s="54" t="s">
        <v>39</v>
      </c>
      <c r="J134" s="54" t="s">
        <v>39</v>
      </c>
      <c r="K134" s="54" t="s">
        <v>315</v>
      </c>
      <c r="L134" s="31" t="s">
        <v>42</v>
      </c>
      <c r="M134" s="31"/>
      <c r="N134" s="31"/>
      <c r="O134" s="55"/>
      <c r="P134" s="55"/>
      <c r="Q134" s="77"/>
      <c r="R134" s="77"/>
      <c r="S134" s="56"/>
      <c r="T134" s="63">
        <v>45071</v>
      </c>
      <c r="U134" s="64"/>
      <c r="V134" s="63">
        <v>45291</v>
      </c>
      <c r="W134" s="64">
        <f ca="1">IFERROR(V134-TODAY(),"")</f>
        <v>-802</v>
      </c>
      <c r="X134" s="65"/>
      <c r="Y134" s="65"/>
      <c r="Z134" s="67"/>
      <c r="AA134" s="67"/>
      <c r="AB134" s="67"/>
      <c r="AC134" s="67"/>
      <c r="AD134" s="67"/>
      <c r="AE134" s="67"/>
      <c r="AF134" s="66"/>
      <c r="AG134" s="66"/>
      <c r="AH134" s="69"/>
      <c r="AI134" s="69"/>
      <c r="AJ134" s="69"/>
      <c r="AK134" s="69"/>
      <c r="AL134" s="69"/>
      <c r="AM134" s="69"/>
      <c r="AN134" s="69"/>
      <c r="AO134" s="69"/>
      <c r="AP134" s="66"/>
      <c r="AQ134" s="64" t="str">
        <f ca="1">IF(ALL_02FEB2024[[#This Row],[Days to Contract End]]&lt;=90,"R",IF(AND(ALL_02FEB2024[[#This Row],[Days to Contract End]]&lt;180),"A","G"))</f>
        <v>R</v>
      </c>
      <c r="AR134" s="70"/>
      <c r="AS134" s="51"/>
      <c r="AT134" s="52"/>
      <c r="AU134" s="52"/>
    </row>
    <row r="135" spans="2:47" ht="60">
      <c r="B135" s="154" t="s">
        <v>489</v>
      </c>
      <c r="C135" s="71">
        <f>IFERROR(VLOOKUP(B135,'QB Consolidated Contacts'!$A$1:$F$333,6),"-")</f>
        <v>0</v>
      </c>
      <c r="D135" s="208" t="s">
        <v>174</v>
      </c>
      <c r="E135" s="62" t="s">
        <v>158</v>
      </c>
      <c r="F135" s="62" t="s">
        <v>175</v>
      </c>
      <c r="G135" s="62" t="s">
        <v>632</v>
      </c>
      <c r="H135" s="142" t="s">
        <v>490</v>
      </c>
      <c r="I135" s="54" t="s">
        <v>39</v>
      </c>
      <c r="J135" s="54" t="s">
        <v>39</v>
      </c>
      <c r="K135" s="54" t="s">
        <v>315</v>
      </c>
      <c r="L135" s="31" t="s">
        <v>42</v>
      </c>
      <c r="M135" s="31"/>
      <c r="N135" s="31"/>
      <c r="O135" s="55"/>
      <c r="P135" s="55"/>
      <c r="Q135" s="77"/>
      <c r="R135" s="77"/>
      <c r="S135" s="56" t="s">
        <v>389</v>
      </c>
      <c r="T135" s="63">
        <v>45139</v>
      </c>
      <c r="U135" s="64" t="s">
        <v>220</v>
      </c>
      <c r="V135" s="63">
        <v>45657</v>
      </c>
      <c r="W135" s="64">
        <f ca="1">IFERROR(V135-TODAY(),"")</f>
        <v>-436</v>
      </c>
      <c r="X135" s="65"/>
      <c r="Y135" s="65"/>
      <c r="Z135" s="67"/>
      <c r="AA135" s="67"/>
      <c r="AB135" s="67"/>
      <c r="AC135" s="67"/>
      <c r="AD135" s="67"/>
      <c r="AE135" s="67"/>
      <c r="AF135" s="66"/>
      <c r="AG135" s="66"/>
      <c r="AH135" s="69"/>
      <c r="AI135" s="69"/>
      <c r="AJ135" s="69"/>
      <c r="AK135" s="69"/>
      <c r="AL135" s="69"/>
      <c r="AM135" s="69"/>
      <c r="AN135" s="69"/>
      <c r="AO135" s="69"/>
      <c r="AP135" s="66"/>
      <c r="AQ135" s="64" t="str">
        <f ca="1">IF(ALL_02FEB2024[[#This Row],[Days to Contract End]]&lt;=90,"R",IF(AND(ALL_02FEB2024[[#This Row],[Days to Contract End]]&lt;180),"A","G"))</f>
        <v>R</v>
      </c>
      <c r="AR135" s="70"/>
      <c r="AS135" s="51"/>
      <c r="AT135" s="52"/>
      <c r="AU135" s="52"/>
    </row>
    <row r="136" spans="2:47" ht="60">
      <c r="B136" s="154" t="s">
        <v>489</v>
      </c>
      <c r="C136" s="71">
        <f>IFERROR(VLOOKUP(B136,'QB Consolidated Contacts'!$A$1:$F$333,6),"-")</f>
        <v>0</v>
      </c>
      <c r="D136" s="208" t="s">
        <v>174</v>
      </c>
      <c r="E136" s="62" t="s">
        <v>43</v>
      </c>
      <c r="F136" s="62" t="s">
        <v>175</v>
      </c>
      <c r="G136" s="62"/>
      <c r="H136" s="144" t="s">
        <v>45</v>
      </c>
      <c r="I136" s="54" t="s">
        <v>39</v>
      </c>
      <c r="J136" s="54" t="s">
        <v>39</v>
      </c>
      <c r="K136" s="54" t="s">
        <v>315</v>
      </c>
      <c r="L136" s="31" t="s">
        <v>42</v>
      </c>
      <c r="M136" s="31"/>
      <c r="N136" s="31"/>
      <c r="O136" s="55"/>
      <c r="P136" s="55"/>
      <c r="Q136" s="77"/>
      <c r="R136" s="77"/>
      <c r="S136" s="56" t="s">
        <v>389</v>
      </c>
      <c r="T136" s="63">
        <v>45125</v>
      </c>
      <c r="U136" s="64"/>
      <c r="V136" s="63">
        <f>IFERROR(EDATE(T136,U136),"")</f>
        <v>45125</v>
      </c>
      <c r="W136" s="64">
        <f ca="1">IFERROR(V136-TODAY(),"")</f>
        <v>-968</v>
      </c>
      <c r="X136" s="65"/>
      <c r="Y136" s="65"/>
      <c r="Z136" s="67"/>
      <c r="AA136" s="67"/>
      <c r="AB136" s="67"/>
      <c r="AC136" s="67"/>
      <c r="AD136" s="67"/>
      <c r="AE136" s="67"/>
      <c r="AF136" s="66"/>
      <c r="AG136" s="66"/>
      <c r="AH136" s="69"/>
      <c r="AI136" s="69"/>
      <c r="AJ136" s="69"/>
      <c r="AK136" s="69"/>
      <c r="AL136" s="69"/>
      <c r="AM136" s="69"/>
      <c r="AN136" s="69"/>
      <c r="AO136" s="69"/>
      <c r="AP136" s="66"/>
      <c r="AQ136" s="64" t="str">
        <f ca="1">IF(ALL_02FEB2024[[#This Row],[Days to Contract End]]&lt;=90,"R",IF(AND(ALL_02FEB2024[[#This Row],[Days to Contract End]]&lt;180),"A","G"))</f>
        <v>R</v>
      </c>
      <c r="AR136" s="70" t="s">
        <v>177</v>
      </c>
      <c r="AS136" s="51"/>
      <c r="AT136" s="52"/>
      <c r="AU136" s="52"/>
    </row>
    <row r="137" spans="2:47">
      <c r="B137" s="154" t="s">
        <v>171</v>
      </c>
      <c r="C137" s="71">
        <f>IFERROR(VLOOKUP(B137,'QB Consolidated Contacts'!$A$1:$F$333,6),"-")</f>
        <v>0</v>
      </c>
      <c r="D137" s="208"/>
      <c r="E137" s="62" t="s">
        <v>43</v>
      </c>
      <c r="F137" s="62" t="s">
        <v>44</v>
      </c>
      <c r="G137" s="62"/>
      <c r="H137" s="142" t="s">
        <v>45</v>
      </c>
      <c r="I137" s="54" t="s">
        <v>39</v>
      </c>
      <c r="J137" s="54"/>
      <c r="K137" s="54" t="s">
        <v>315</v>
      </c>
      <c r="L137" s="31" t="s">
        <v>51</v>
      </c>
      <c r="M137" s="31"/>
      <c r="N137" s="31"/>
      <c r="O137" s="55"/>
      <c r="P137" s="55"/>
      <c r="Q137" s="77"/>
      <c r="R137" s="77"/>
      <c r="S137" s="56"/>
      <c r="T137" s="63">
        <v>44713</v>
      </c>
      <c r="U137" s="64" t="s">
        <v>46</v>
      </c>
      <c r="V137" s="63" t="str">
        <f t="shared" si="10"/>
        <v/>
      </c>
      <c r="W137" s="65" t="str">
        <f t="shared" ca="1" si="9"/>
        <v/>
      </c>
      <c r="X137" s="65"/>
      <c r="Y137" s="65"/>
      <c r="Z137" s="67" t="s">
        <v>60</v>
      </c>
      <c r="AA137" s="67" t="s">
        <v>47</v>
      </c>
      <c r="AB137" s="67"/>
      <c r="AC137" s="67"/>
      <c r="AD137" s="67"/>
      <c r="AE137" s="67"/>
      <c r="AF137" s="66"/>
      <c r="AG137" s="66"/>
      <c r="AH137" s="69"/>
      <c r="AI137" s="69"/>
      <c r="AJ137" s="69"/>
      <c r="AK137" s="69"/>
      <c r="AL137" s="69"/>
      <c r="AM137" s="69"/>
      <c r="AN137" s="69"/>
      <c r="AO137" s="69"/>
      <c r="AP137" s="66"/>
      <c r="AQ137" s="65" t="str">
        <f ca="1">IF(ALL_02FEB2024[[#This Row],[Days to Contract End]]&lt;=90,"R",IF(AND(ALL_02FEB2024[[#This Row],[Days to Contract End]]&lt;180),"A","G"))</f>
        <v>G</v>
      </c>
      <c r="AR137" s="70"/>
      <c r="AS137" s="51"/>
      <c r="AT137" s="52"/>
      <c r="AU137" s="52"/>
    </row>
    <row r="138" spans="2:47">
      <c r="B138" s="154" t="s">
        <v>171</v>
      </c>
      <c r="C138" s="71">
        <f>IFERROR(VLOOKUP(B138,'QB Consolidated Contacts'!$A$1:$F$333,6),"-")</f>
        <v>0</v>
      </c>
      <c r="D138" s="208"/>
      <c r="E138" s="62" t="s">
        <v>66</v>
      </c>
      <c r="F138" s="62" t="s">
        <v>44</v>
      </c>
      <c r="G138" s="62"/>
      <c r="H138" s="142" t="s">
        <v>78</v>
      </c>
      <c r="I138" s="54" t="s">
        <v>39</v>
      </c>
      <c r="J138" s="54"/>
      <c r="K138" s="54" t="s">
        <v>315</v>
      </c>
      <c r="L138" s="31" t="s">
        <v>42</v>
      </c>
      <c r="M138" s="31" t="s">
        <v>39</v>
      </c>
      <c r="N138" s="31"/>
      <c r="O138" s="55"/>
      <c r="P138" s="55"/>
      <c r="Q138" s="77"/>
      <c r="R138" s="77"/>
      <c r="S138" s="56"/>
      <c r="T138" s="63">
        <v>43003</v>
      </c>
      <c r="U138" s="64" t="s">
        <v>46</v>
      </c>
      <c r="V138" s="63" t="str">
        <f t="shared" si="10"/>
        <v/>
      </c>
      <c r="W138" s="64" t="str">
        <f t="shared" ref="W138:W175" ca="1" si="11">IFERROR(V138-TODAY(),"")</f>
        <v/>
      </c>
      <c r="X138" s="65"/>
      <c r="Y138" s="65"/>
      <c r="Z138" s="67"/>
      <c r="AA138" s="67"/>
      <c r="AB138" s="67"/>
      <c r="AC138" s="67"/>
      <c r="AD138" s="67"/>
      <c r="AE138" s="67"/>
      <c r="AF138" s="66"/>
      <c r="AG138" s="66"/>
      <c r="AH138" s="69"/>
      <c r="AI138" s="69"/>
      <c r="AJ138" s="69"/>
      <c r="AK138" s="69"/>
      <c r="AL138" s="69"/>
      <c r="AM138" s="69"/>
      <c r="AN138" s="69"/>
      <c r="AO138" s="69"/>
      <c r="AP138" s="66"/>
      <c r="AQ138" s="64" t="str">
        <f ca="1">IF(ALL_02FEB2024[[#This Row],[Days to Contract End]]&lt;=90,"R",IF(AND(ALL_02FEB2024[[#This Row],[Days to Contract End]]&lt;180),"A","G"))</f>
        <v>G</v>
      </c>
      <c r="AR138" s="70"/>
      <c r="AS138" s="51"/>
      <c r="AT138" s="52"/>
      <c r="AU138" s="52"/>
    </row>
    <row r="139" spans="2:47" ht="45">
      <c r="B139" s="147" t="s">
        <v>171</v>
      </c>
      <c r="C139" s="71">
        <f>IFERROR(VLOOKUP(B139,'QB Consolidated Contacts'!$A$1:$F$333,6),"-")</f>
        <v>0</v>
      </c>
      <c r="D139" s="208" t="s">
        <v>132</v>
      </c>
      <c r="E139" s="62" t="s">
        <v>158</v>
      </c>
      <c r="F139" s="62" t="s">
        <v>175</v>
      </c>
      <c r="G139" s="62"/>
      <c r="H139" s="142" t="s">
        <v>377</v>
      </c>
      <c r="I139" s="54" t="s">
        <v>39</v>
      </c>
      <c r="J139" s="54"/>
      <c r="K139" s="54" t="s">
        <v>315</v>
      </c>
      <c r="L139" s="31" t="s">
        <v>51</v>
      </c>
      <c r="M139" s="31" t="s">
        <v>39</v>
      </c>
      <c r="N139" s="31"/>
      <c r="O139" s="55" t="s">
        <v>383</v>
      </c>
      <c r="P139" s="55"/>
      <c r="Q139" s="77"/>
      <c r="R139" s="77">
        <v>75000</v>
      </c>
      <c r="S139" s="56">
        <v>424</v>
      </c>
      <c r="T139" s="63">
        <v>44767</v>
      </c>
      <c r="U139" s="64" t="s">
        <v>282</v>
      </c>
      <c r="V139" s="63" t="str">
        <f t="shared" si="10"/>
        <v/>
      </c>
      <c r="W139" s="65" t="str">
        <f t="shared" ca="1" si="11"/>
        <v/>
      </c>
      <c r="X139" s="65"/>
      <c r="Y139" s="65"/>
      <c r="Z139" s="67" t="s">
        <v>48</v>
      </c>
      <c r="AA139" s="67" t="s">
        <v>48</v>
      </c>
      <c r="AB139" s="67"/>
      <c r="AC139" s="67"/>
      <c r="AD139" s="67" t="s">
        <v>48</v>
      </c>
      <c r="AE139" s="67"/>
      <c r="AF139" s="66" t="s">
        <v>48</v>
      </c>
      <c r="AG139" s="66" t="s">
        <v>48</v>
      </c>
      <c r="AH139" s="69"/>
      <c r="AI139" s="69"/>
      <c r="AJ139" s="69"/>
      <c r="AK139" s="69"/>
      <c r="AL139" s="69"/>
      <c r="AM139" s="69"/>
      <c r="AN139" s="69"/>
      <c r="AO139" s="69"/>
      <c r="AP139" s="66" t="s">
        <v>48</v>
      </c>
      <c r="AQ139" s="65" t="str">
        <f ca="1">IF(ALL_02FEB2024[[#This Row],[Days to Contract End]]&lt;=90,"R",IF(AND(ALL_02FEB2024[[#This Row],[Days to Contract End]]&lt;180),"A","G"))</f>
        <v>G</v>
      </c>
      <c r="AR139" s="70" t="s">
        <v>491</v>
      </c>
      <c r="AS139" s="51"/>
      <c r="AT139" s="52"/>
      <c r="AU139" s="52"/>
    </row>
    <row r="140" spans="2:47">
      <c r="B140" s="147" t="s">
        <v>172</v>
      </c>
      <c r="C140" s="71">
        <f>IFERROR(VLOOKUP(B140,'QB Consolidated Contacts'!$A$1:$F$333,6),"-")</f>
        <v>0</v>
      </c>
      <c r="D140" s="208"/>
      <c r="E140" s="62" t="s">
        <v>43</v>
      </c>
      <c r="F140" s="62" t="s">
        <v>44</v>
      </c>
      <c r="G140" s="62"/>
      <c r="H140" s="143" t="s">
        <v>45</v>
      </c>
      <c r="I140" s="54" t="s">
        <v>39</v>
      </c>
      <c r="J140" s="54" t="s">
        <v>40</v>
      </c>
      <c r="K140" s="54" t="s">
        <v>315</v>
      </c>
      <c r="L140" s="31" t="s">
        <v>42</v>
      </c>
      <c r="M140" s="31"/>
      <c r="N140" s="31"/>
      <c r="O140" s="55"/>
      <c r="P140" s="55" t="s">
        <v>439</v>
      </c>
      <c r="Q140" s="77"/>
      <c r="R140" s="77"/>
      <c r="S140" s="56"/>
      <c r="T140" s="63">
        <v>43240</v>
      </c>
      <c r="U140" s="64" t="s">
        <v>46</v>
      </c>
      <c r="V140" s="63" t="str">
        <f t="shared" si="10"/>
        <v/>
      </c>
      <c r="W140" s="65" t="str">
        <f t="shared" ca="1" si="11"/>
        <v/>
      </c>
      <c r="X140" s="65" t="s">
        <v>39</v>
      </c>
      <c r="Y140" s="65"/>
      <c r="Z140" s="67" t="s">
        <v>47</v>
      </c>
      <c r="AA140" s="67" t="s">
        <v>49</v>
      </c>
      <c r="AB140" s="67"/>
      <c r="AC140" s="67"/>
      <c r="AD140" s="67"/>
      <c r="AE140" s="67"/>
      <c r="AF140" s="66"/>
      <c r="AG140" s="66"/>
      <c r="AH140" s="69"/>
      <c r="AI140" s="69"/>
      <c r="AJ140" s="69"/>
      <c r="AK140" s="69"/>
      <c r="AL140" s="69"/>
      <c r="AM140" s="69"/>
      <c r="AN140" s="69"/>
      <c r="AO140" s="69"/>
      <c r="AP140" s="66"/>
      <c r="AQ140" s="65" t="str">
        <f ca="1">IF(ALL_02FEB2024[[#This Row],[Days to Contract End]]&lt;=90,"R",IF(AND(ALL_02FEB2024[[#This Row],[Days to Contract End]]&lt;180),"A","G"))</f>
        <v>G</v>
      </c>
      <c r="AR140" s="70"/>
      <c r="AS140" s="51"/>
      <c r="AT140" s="52"/>
      <c r="AU140" s="52"/>
    </row>
    <row r="141" spans="2:47" ht="30">
      <c r="B141" s="147" t="s">
        <v>172</v>
      </c>
      <c r="C141" s="71">
        <f>IFERROR(VLOOKUP(B141,'QB Consolidated Contacts'!$A$1:$F$333,6),"-")</f>
        <v>0</v>
      </c>
      <c r="D141" s="208" t="s">
        <v>174</v>
      </c>
      <c r="E141" s="62" t="s">
        <v>158</v>
      </c>
      <c r="F141" s="62" t="s">
        <v>175</v>
      </c>
      <c r="G141" s="62"/>
      <c r="H141" s="143" t="s">
        <v>492</v>
      </c>
      <c r="I141" s="54" t="s">
        <v>40</v>
      </c>
      <c r="J141" s="54"/>
      <c r="K141" s="54" t="s">
        <v>309</v>
      </c>
      <c r="L141" s="31" t="s">
        <v>42</v>
      </c>
      <c r="M141" s="31"/>
      <c r="N141" s="31"/>
      <c r="O141" s="55" t="s">
        <v>383</v>
      </c>
      <c r="P141" s="55"/>
      <c r="Q141" s="77"/>
      <c r="R141" s="77"/>
      <c r="S141" s="56"/>
      <c r="T141" s="63">
        <v>43565</v>
      </c>
      <c r="U141" s="64" t="s">
        <v>46</v>
      </c>
      <c r="V141" s="63" t="str">
        <f t="shared" si="10"/>
        <v/>
      </c>
      <c r="W141" s="65" t="str">
        <f t="shared" ca="1" si="11"/>
        <v/>
      </c>
      <c r="X141" s="65"/>
      <c r="Y141" s="65"/>
      <c r="Z141" s="67" t="s">
        <v>48</v>
      </c>
      <c r="AA141" s="67" t="s">
        <v>48</v>
      </c>
      <c r="AB141" s="67"/>
      <c r="AC141" s="67"/>
      <c r="AD141" s="67" t="s">
        <v>48</v>
      </c>
      <c r="AE141" s="67"/>
      <c r="AF141" s="66" t="s">
        <v>48</v>
      </c>
      <c r="AG141" s="66" t="s">
        <v>48</v>
      </c>
      <c r="AH141" s="69"/>
      <c r="AI141" s="69"/>
      <c r="AJ141" s="69"/>
      <c r="AK141" s="69"/>
      <c r="AL141" s="69"/>
      <c r="AM141" s="69"/>
      <c r="AN141" s="69"/>
      <c r="AO141" s="69"/>
      <c r="AP141" s="66" t="s">
        <v>48</v>
      </c>
      <c r="AQ141" s="65" t="str">
        <f ca="1">IF(ALL_02FEB2024[[#This Row],[Days to Contract End]]&lt;=90,"R",IF(AND(ALL_02FEB2024[[#This Row],[Days to Contract End]]&lt;180),"A","G"))</f>
        <v>G</v>
      </c>
      <c r="AR141" s="70" t="s">
        <v>493</v>
      </c>
      <c r="AS141" s="51"/>
      <c r="AT141" s="52"/>
      <c r="AU141" s="52"/>
    </row>
    <row r="142" spans="2:47" ht="45">
      <c r="B142" s="147" t="s">
        <v>172</v>
      </c>
      <c r="C142" s="71">
        <f>IFERROR(VLOOKUP(B142,'QB Consolidated Contacts'!$A$1:$F$333,6),"-")</f>
        <v>0</v>
      </c>
      <c r="D142" s="208" t="s">
        <v>132</v>
      </c>
      <c r="E142" s="62" t="s">
        <v>158</v>
      </c>
      <c r="F142" s="62" t="s">
        <v>175</v>
      </c>
      <c r="G142" s="62"/>
      <c r="H142" s="143" t="s">
        <v>494</v>
      </c>
      <c r="I142" s="54" t="s">
        <v>39</v>
      </c>
      <c r="J142" s="54"/>
      <c r="K142" s="54" t="s">
        <v>309</v>
      </c>
      <c r="L142" s="31" t="s">
        <v>42</v>
      </c>
      <c r="M142" s="31"/>
      <c r="N142" s="31"/>
      <c r="O142" s="55" t="s">
        <v>441</v>
      </c>
      <c r="P142" s="55"/>
      <c r="Q142" s="77"/>
      <c r="R142" s="77"/>
      <c r="S142" s="56"/>
      <c r="T142" s="63">
        <v>43240</v>
      </c>
      <c r="U142" s="64" t="s">
        <v>46</v>
      </c>
      <c r="V142" s="63" t="str">
        <f t="shared" si="10"/>
        <v/>
      </c>
      <c r="W142" s="64" t="str">
        <f t="shared" ca="1" si="11"/>
        <v/>
      </c>
      <c r="X142" s="65"/>
      <c r="Y142" s="65"/>
      <c r="Z142" s="67" t="s">
        <v>48</v>
      </c>
      <c r="AA142" s="67" t="s">
        <v>48</v>
      </c>
      <c r="AB142" s="67"/>
      <c r="AC142" s="67"/>
      <c r="AD142" s="67" t="s">
        <v>48</v>
      </c>
      <c r="AE142" s="67"/>
      <c r="AF142" s="66" t="s">
        <v>48</v>
      </c>
      <c r="AG142" s="66" t="s">
        <v>48</v>
      </c>
      <c r="AH142" s="69"/>
      <c r="AI142" s="69"/>
      <c r="AJ142" s="69"/>
      <c r="AK142" s="69"/>
      <c r="AL142" s="69"/>
      <c r="AM142" s="69"/>
      <c r="AN142" s="69"/>
      <c r="AO142" s="69"/>
      <c r="AP142" s="66" t="s">
        <v>48</v>
      </c>
      <c r="AQ142" s="64" t="str">
        <f ca="1">IF(ALL_02FEB2024[[#This Row],[Days to Contract End]]&lt;=90,"R",IF(AND(ALL_02FEB2024[[#This Row],[Days to Contract End]]&lt;180),"A","G"))</f>
        <v>G</v>
      </c>
      <c r="AR142" s="70" t="s">
        <v>495</v>
      </c>
      <c r="AS142" s="51"/>
      <c r="AT142" s="52"/>
      <c r="AU142" s="52"/>
    </row>
    <row r="143" spans="2:47" ht="30">
      <c r="B143" s="147" t="s">
        <v>496</v>
      </c>
      <c r="C143" s="71">
        <f>IFERROR(VLOOKUP(B143,'QB Consolidated Contacts'!$A$1:$F$333,6),"-")</f>
        <v>0</v>
      </c>
      <c r="D143" s="208" t="s">
        <v>132</v>
      </c>
      <c r="E143" s="62" t="s">
        <v>158</v>
      </c>
      <c r="F143" s="62" t="s">
        <v>175</v>
      </c>
      <c r="G143" s="62"/>
      <c r="H143" s="143" t="s">
        <v>497</v>
      </c>
      <c r="I143" s="54" t="s">
        <v>39</v>
      </c>
      <c r="J143" s="54"/>
      <c r="K143" s="54" t="s">
        <v>315</v>
      </c>
      <c r="L143" s="31" t="s">
        <v>42</v>
      </c>
      <c r="M143" s="31" t="s">
        <v>39</v>
      </c>
      <c r="N143" s="114">
        <v>4000207399</v>
      </c>
      <c r="O143" s="55" t="s">
        <v>498</v>
      </c>
      <c r="P143" s="55"/>
      <c r="Q143" s="77"/>
      <c r="R143" s="77">
        <v>10500</v>
      </c>
      <c r="S143" s="56"/>
      <c r="T143" s="63">
        <v>44805</v>
      </c>
      <c r="U143" s="64" t="s">
        <v>46</v>
      </c>
      <c r="V143" s="63" t="str">
        <f t="shared" si="10"/>
        <v/>
      </c>
      <c r="W143" s="65" t="str">
        <f t="shared" ca="1" si="11"/>
        <v/>
      </c>
      <c r="X143" s="65"/>
      <c r="Y143" s="65"/>
      <c r="Z143" s="67"/>
      <c r="AA143" s="67"/>
      <c r="AB143" s="67"/>
      <c r="AC143" s="67"/>
      <c r="AD143" s="67"/>
      <c r="AE143" s="67"/>
      <c r="AF143" s="66"/>
      <c r="AG143" s="66"/>
      <c r="AH143" s="69"/>
      <c r="AI143" s="69"/>
      <c r="AJ143" s="69"/>
      <c r="AK143" s="69"/>
      <c r="AL143" s="69"/>
      <c r="AM143" s="69"/>
      <c r="AN143" s="69"/>
      <c r="AO143" s="69"/>
      <c r="AP143" s="66"/>
      <c r="AQ143" s="65" t="str">
        <f ca="1">IF(ALL_02FEB2024[[#This Row],[Days to Contract End]]&lt;=90,"R",IF(AND(ALL_02FEB2024[[#This Row],[Days to Contract End]]&lt;180),"A","G"))</f>
        <v>G</v>
      </c>
      <c r="AR143" s="70"/>
      <c r="AS143" s="51"/>
      <c r="AT143" s="52"/>
      <c r="AU143" s="52"/>
    </row>
    <row r="144" spans="2:47" ht="30">
      <c r="B144" s="147" t="s">
        <v>178</v>
      </c>
      <c r="C144" s="71">
        <f>IFERROR(VLOOKUP(B144,'QB Consolidated Contacts'!$A$1:$F$333,6),"-")</f>
        <v>0</v>
      </c>
      <c r="D144" s="208"/>
      <c r="E144" s="62" t="s">
        <v>43</v>
      </c>
      <c r="F144" s="62" t="s">
        <v>44</v>
      </c>
      <c r="G144" s="62"/>
      <c r="H144" s="143" t="s">
        <v>45</v>
      </c>
      <c r="I144" s="54" t="s">
        <v>39</v>
      </c>
      <c r="J144" s="54"/>
      <c r="K144" s="54" t="s">
        <v>315</v>
      </c>
      <c r="L144" s="31" t="s">
        <v>42</v>
      </c>
      <c r="M144" s="31" t="s">
        <v>40</v>
      </c>
      <c r="N144" s="31" t="s">
        <v>504</v>
      </c>
      <c r="O144" s="55" t="s">
        <v>290</v>
      </c>
      <c r="P144" s="55"/>
      <c r="Q144" s="77"/>
      <c r="R144" s="77"/>
      <c r="S144" s="56"/>
      <c r="T144" s="63">
        <v>44701</v>
      </c>
      <c r="U144" s="64" t="s">
        <v>46</v>
      </c>
      <c r="V144" s="63" t="str">
        <f t="shared" si="10"/>
        <v/>
      </c>
      <c r="W144" s="65" t="str">
        <f t="shared" ca="1" si="11"/>
        <v/>
      </c>
      <c r="X144" s="65"/>
      <c r="Y144" s="65"/>
      <c r="Z144" s="67"/>
      <c r="AA144" s="67"/>
      <c r="AB144" s="67"/>
      <c r="AC144" s="67"/>
      <c r="AD144" s="67"/>
      <c r="AE144" s="67"/>
      <c r="AF144" s="66"/>
      <c r="AG144" s="66"/>
      <c r="AH144" s="69"/>
      <c r="AI144" s="69"/>
      <c r="AJ144" s="69"/>
      <c r="AK144" s="69"/>
      <c r="AL144" s="69"/>
      <c r="AM144" s="69"/>
      <c r="AN144" s="69"/>
      <c r="AO144" s="69"/>
      <c r="AP144" s="66"/>
      <c r="AQ144" s="65" t="str">
        <f ca="1">IF(ALL_02FEB2024[[#This Row],[Days to Contract End]]&lt;=90,"R",IF(AND(ALL_02FEB2024[[#This Row],[Days to Contract End]]&lt;180),"A","G"))</f>
        <v>G</v>
      </c>
      <c r="AR144" s="70"/>
      <c r="AS144" s="51"/>
      <c r="AT144" s="52"/>
      <c r="AU144" s="52"/>
    </row>
    <row r="145" spans="2:47" ht="30">
      <c r="B145" s="147" t="s">
        <v>178</v>
      </c>
      <c r="C145" s="71">
        <f>IFERROR(VLOOKUP(B145,'QB Consolidated Contacts'!$A$1:$F$333,6),"-")</f>
        <v>0</v>
      </c>
      <c r="D145" s="208"/>
      <c r="E145" s="62" t="s">
        <v>43</v>
      </c>
      <c r="F145" s="62" t="s">
        <v>44</v>
      </c>
      <c r="G145" s="62"/>
      <c r="H145" s="142" t="s">
        <v>179</v>
      </c>
      <c r="I145" s="54" t="s">
        <v>39</v>
      </c>
      <c r="J145" s="54" t="s">
        <v>39</v>
      </c>
      <c r="K145" s="54" t="s">
        <v>315</v>
      </c>
      <c r="L145" s="31" t="s">
        <v>42</v>
      </c>
      <c r="M145" s="31"/>
      <c r="N145" s="31"/>
      <c r="O145" s="55"/>
      <c r="P145" s="55" t="s">
        <v>439</v>
      </c>
      <c r="Q145" s="77"/>
      <c r="R145" s="77"/>
      <c r="S145" s="56"/>
      <c r="T145" s="63">
        <v>44701</v>
      </c>
      <c r="U145" s="64" t="s">
        <v>46</v>
      </c>
      <c r="V145" s="63" t="str">
        <f>IFERROR(EDATE(T145,U145),"")</f>
        <v/>
      </c>
      <c r="W145" s="64" t="str">
        <f ca="1">IFERROR(V145-TODAY(),"")</f>
        <v/>
      </c>
      <c r="X145" s="65" t="s">
        <v>39</v>
      </c>
      <c r="Y145" s="65"/>
      <c r="Z145" s="67" t="s">
        <v>47</v>
      </c>
      <c r="AA145" s="67" t="s">
        <v>49</v>
      </c>
      <c r="AB145" s="67"/>
      <c r="AC145" s="67"/>
      <c r="AD145" s="67"/>
      <c r="AE145" s="67"/>
      <c r="AF145" s="66"/>
      <c r="AG145" s="66"/>
      <c r="AH145" s="69"/>
      <c r="AI145" s="69"/>
      <c r="AJ145" s="69"/>
      <c r="AK145" s="69"/>
      <c r="AL145" s="69"/>
      <c r="AM145" s="69"/>
      <c r="AN145" s="69"/>
      <c r="AO145" s="69"/>
      <c r="AP145" s="66"/>
      <c r="AQ145" s="64" t="str">
        <f ca="1">IF(ALL_02FEB2024[[#This Row],[Days to Contract End]]&lt;=90,"R",IF(AND(ALL_02FEB2024[[#This Row],[Days to Contract End]]&lt;180),"A","G"))</f>
        <v>G</v>
      </c>
      <c r="AR145" s="70"/>
      <c r="AS145" s="51"/>
      <c r="AT145" s="52"/>
      <c r="AU145" s="52"/>
    </row>
    <row r="146" spans="2:47" ht="30">
      <c r="B146" s="147" t="s">
        <v>178</v>
      </c>
      <c r="C146" s="71">
        <f>IFERROR(VLOOKUP(B146,'QB Consolidated Contacts'!$A$1:$F$333,6),"-")</f>
        <v>0</v>
      </c>
      <c r="D146" s="208"/>
      <c r="E146" s="62" t="s">
        <v>180</v>
      </c>
      <c r="F146" s="62" t="s">
        <v>44</v>
      </c>
      <c r="G146" s="62"/>
      <c r="H146" s="142" t="s">
        <v>181</v>
      </c>
      <c r="I146" s="54" t="s">
        <v>39</v>
      </c>
      <c r="J146" s="54" t="s">
        <v>39</v>
      </c>
      <c r="K146" s="54" t="s">
        <v>315</v>
      </c>
      <c r="L146" s="31" t="s">
        <v>42</v>
      </c>
      <c r="M146" s="31"/>
      <c r="N146" s="31"/>
      <c r="O146" s="55"/>
      <c r="P146" s="55"/>
      <c r="Q146" s="77"/>
      <c r="R146" s="77"/>
      <c r="S146" s="56"/>
      <c r="T146" s="63" t="s">
        <v>182</v>
      </c>
      <c r="U146" s="64" t="s">
        <v>46</v>
      </c>
      <c r="V146" s="63" t="str">
        <f t="shared" si="10"/>
        <v/>
      </c>
      <c r="W146" s="65" t="str">
        <f t="shared" ca="1" si="11"/>
        <v/>
      </c>
      <c r="X146" s="65"/>
      <c r="Y146" s="65"/>
      <c r="Z146" s="67"/>
      <c r="AA146" s="67"/>
      <c r="AB146" s="67"/>
      <c r="AC146" s="67"/>
      <c r="AD146" s="67"/>
      <c r="AE146" s="67"/>
      <c r="AF146" s="66"/>
      <c r="AG146" s="66"/>
      <c r="AH146" s="69"/>
      <c r="AI146" s="69"/>
      <c r="AJ146" s="69"/>
      <c r="AK146" s="69"/>
      <c r="AL146" s="69"/>
      <c r="AM146" s="69"/>
      <c r="AN146" s="69"/>
      <c r="AO146" s="69"/>
      <c r="AP146" s="66"/>
      <c r="AQ146" s="65" t="str">
        <f ca="1">IF(ALL_02FEB2024[[#This Row],[Days to Contract End]]&lt;=90,"R",IF(AND(ALL_02FEB2024[[#This Row],[Days to Contract End]]&lt;180),"A","G"))</f>
        <v>G</v>
      </c>
      <c r="AR146" s="70"/>
      <c r="AS146" s="51"/>
      <c r="AT146" s="52"/>
      <c r="AU146" s="52"/>
    </row>
    <row r="147" spans="2:47" ht="30">
      <c r="B147" s="147" t="s">
        <v>178</v>
      </c>
      <c r="C147" s="71">
        <f>IFERROR(VLOOKUP(B147,'QB Consolidated Contacts'!$A$1:$F$333,6),"-")</f>
        <v>0</v>
      </c>
      <c r="D147" s="208" t="s">
        <v>174</v>
      </c>
      <c r="E147" s="62" t="s">
        <v>158</v>
      </c>
      <c r="F147" s="62" t="s">
        <v>175</v>
      </c>
      <c r="G147" s="62"/>
      <c r="H147" s="143" t="s">
        <v>506</v>
      </c>
      <c r="I147" s="54" t="s">
        <v>39</v>
      </c>
      <c r="J147" s="54"/>
      <c r="K147" s="54" t="s">
        <v>309</v>
      </c>
      <c r="L147" s="31" t="s">
        <v>42</v>
      </c>
      <c r="M147" s="31"/>
      <c r="N147" s="31"/>
      <c r="O147" s="55"/>
      <c r="P147" s="55"/>
      <c r="Q147" s="77"/>
      <c r="R147" s="77"/>
      <c r="S147" s="56">
        <v>440</v>
      </c>
      <c r="T147" s="63">
        <v>44701</v>
      </c>
      <c r="U147" s="64" t="s">
        <v>282</v>
      </c>
      <c r="V147" s="63" t="str">
        <f t="shared" si="10"/>
        <v/>
      </c>
      <c r="W147" s="65" t="str">
        <f t="shared" ca="1" si="11"/>
        <v/>
      </c>
      <c r="X147" s="65"/>
      <c r="Y147" s="65"/>
      <c r="Z147" s="67"/>
      <c r="AA147" s="67"/>
      <c r="AB147" s="67"/>
      <c r="AC147" s="67"/>
      <c r="AD147" s="67"/>
      <c r="AE147" s="67"/>
      <c r="AF147" s="66"/>
      <c r="AG147" s="66"/>
      <c r="AH147" s="69"/>
      <c r="AI147" s="69"/>
      <c r="AJ147" s="69"/>
      <c r="AK147" s="69"/>
      <c r="AL147" s="69"/>
      <c r="AM147" s="69"/>
      <c r="AN147" s="69"/>
      <c r="AO147" s="69"/>
      <c r="AP147" s="66"/>
      <c r="AQ147" s="65" t="str">
        <f ca="1">IF(ALL_02FEB2024[[#This Row],[Days to Contract End]]&lt;=90,"R",IF(AND(ALL_02FEB2024[[#This Row],[Days to Contract End]]&lt;180),"A","G"))</f>
        <v>G</v>
      </c>
      <c r="AR147" s="70"/>
      <c r="AS147" s="51"/>
      <c r="AT147" s="52"/>
      <c r="AU147" s="52"/>
    </row>
    <row r="148" spans="2:47" ht="30">
      <c r="B148" s="147" t="s">
        <v>178</v>
      </c>
      <c r="C148" s="71">
        <f>IFERROR(VLOOKUP(B148,'QB Consolidated Contacts'!$A$1:$F$333,6),"-")</f>
        <v>0</v>
      </c>
      <c r="D148" s="208" t="s">
        <v>132</v>
      </c>
      <c r="E148" s="62" t="s">
        <v>158</v>
      </c>
      <c r="F148" s="62" t="s">
        <v>288</v>
      </c>
      <c r="G148" s="62" t="s">
        <v>634</v>
      </c>
      <c r="H148" s="142" t="s">
        <v>503</v>
      </c>
      <c r="I148" s="54" t="s">
        <v>39</v>
      </c>
      <c r="J148" s="54"/>
      <c r="K148" s="54" t="s">
        <v>315</v>
      </c>
      <c r="L148" s="31" t="s">
        <v>51</v>
      </c>
      <c r="M148" s="31" t="s">
        <v>40</v>
      </c>
      <c r="N148" s="31" t="s">
        <v>504</v>
      </c>
      <c r="O148" s="55" t="s">
        <v>290</v>
      </c>
      <c r="P148" s="55"/>
      <c r="Q148" s="77">
        <v>4210</v>
      </c>
      <c r="R148" s="77">
        <f>ALL_02FEB2024[[#This Row],[Monthly Budget]]*12</f>
        <v>50520</v>
      </c>
      <c r="S148" s="56" t="s">
        <v>505</v>
      </c>
      <c r="T148" s="63">
        <v>44986</v>
      </c>
      <c r="U148" s="64">
        <v>12</v>
      </c>
      <c r="V148" s="63">
        <f t="shared" si="10"/>
        <v>45352</v>
      </c>
      <c r="W148" s="65">
        <f t="shared" ca="1" si="11"/>
        <v>-741</v>
      </c>
      <c r="X148" s="65"/>
      <c r="Y148" s="65"/>
      <c r="Z148" s="67"/>
      <c r="AA148" s="67"/>
      <c r="AB148" s="67"/>
      <c r="AC148" s="67"/>
      <c r="AD148" s="67"/>
      <c r="AE148" s="67"/>
      <c r="AF148" s="66"/>
      <c r="AG148" s="66"/>
      <c r="AH148" s="69"/>
      <c r="AI148" s="69"/>
      <c r="AJ148" s="69"/>
      <c r="AK148" s="69"/>
      <c r="AL148" s="69"/>
      <c r="AM148" s="69"/>
      <c r="AN148" s="69"/>
      <c r="AO148" s="69"/>
      <c r="AP148" s="66"/>
      <c r="AQ148" s="65" t="str">
        <f ca="1">IF(ALL_02FEB2024[[#This Row],[Days to Contract End]]&lt;=90,"R",IF(AND(ALL_02FEB2024[[#This Row],[Days to Contract End]]&lt;180),"A","G"))</f>
        <v>R</v>
      </c>
      <c r="AR148" s="70"/>
      <c r="AS148" s="51"/>
      <c r="AT148" s="52"/>
      <c r="AU148" s="52"/>
    </row>
    <row r="149" spans="2:47" ht="45">
      <c r="B149" s="147" t="s">
        <v>178</v>
      </c>
      <c r="C149" s="71">
        <f>IFERROR(VLOOKUP(B149,'QB Consolidated Contacts'!$A$1:$F$333,6),"-")</f>
        <v>0</v>
      </c>
      <c r="D149" s="208" t="s">
        <v>132</v>
      </c>
      <c r="E149" s="62" t="s">
        <v>320</v>
      </c>
      <c r="F149" s="62" t="s">
        <v>288</v>
      </c>
      <c r="G149" s="62"/>
      <c r="H149" s="144" t="s">
        <v>501</v>
      </c>
      <c r="I149" s="54" t="s">
        <v>39</v>
      </c>
      <c r="J149" s="54" t="s">
        <v>39</v>
      </c>
      <c r="K149" s="54" t="s">
        <v>315</v>
      </c>
      <c r="L149" s="31" t="s">
        <v>51</v>
      </c>
      <c r="M149" s="31"/>
      <c r="N149" s="31"/>
      <c r="O149" s="55"/>
      <c r="P149" s="55"/>
      <c r="Q149" s="77"/>
      <c r="R149" s="77"/>
      <c r="S149" s="56"/>
      <c r="T149" s="63">
        <v>45091</v>
      </c>
      <c r="U149" s="64"/>
      <c r="V149" s="63">
        <f>IFERROR(EDATE(T149,U149),"")</f>
        <v>45091</v>
      </c>
      <c r="W149" s="64">
        <f ca="1">IFERROR(V149-TODAY(),"")</f>
        <v>-1002</v>
      </c>
      <c r="X149" s="65"/>
      <c r="Y149" s="65"/>
      <c r="Z149" s="67"/>
      <c r="AA149" s="67"/>
      <c r="AB149" s="67"/>
      <c r="AC149" s="67"/>
      <c r="AD149" s="67"/>
      <c r="AE149" s="67"/>
      <c r="AF149" s="66"/>
      <c r="AG149" s="66"/>
      <c r="AH149" s="69"/>
      <c r="AI149" s="69"/>
      <c r="AJ149" s="69"/>
      <c r="AK149" s="69"/>
      <c r="AL149" s="69"/>
      <c r="AM149" s="69"/>
      <c r="AN149" s="69"/>
      <c r="AO149" s="69"/>
      <c r="AP149" s="66"/>
      <c r="AQ149" s="64" t="str">
        <f ca="1">IF(ALL_02FEB2024[[#This Row],[Days to Contract End]]&lt;=90,"R",IF(AND(ALL_02FEB2024[[#This Row],[Days to Contract End]]&lt;180),"A","G"))</f>
        <v>R</v>
      </c>
      <c r="AR149" s="70" t="s">
        <v>502</v>
      </c>
      <c r="AS149" s="51"/>
      <c r="AT149" s="52"/>
      <c r="AU149" s="52"/>
    </row>
    <row r="150" spans="2:47">
      <c r="B150" s="147" t="s">
        <v>188</v>
      </c>
      <c r="C150" s="71">
        <f>IFERROR(VLOOKUP(B150,'QB Consolidated Contacts'!$A$1:$F$333,6),"-")</f>
        <v>0</v>
      </c>
      <c r="D150" s="208"/>
      <c r="E150" s="62" t="s">
        <v>66</v>
      </c>
      <c r="F150" s="62" t="s">
        <v>44</v>
      </c>
      <c r="G150" s="62"/>
      <c r="H150" s="143" t="s">
        <v>125</v>
      </c>
      <c r="I150" s="54" t="s">
        <v>39</v>
      </c>
      <c r="J150" s="54"/>
      <c r="K150" s="54"/>
      <c r="L150" s="31" t="s">
        <v>42</v>
      </c>
      <c r="M150" s="31"/>
      <c r="N150" s="31"/>
      <c r="O150" s="55" t="s">
        <v>48</v>
      </c>
      <c r="P150" s="55"/>
      <c r="Q150" s="77"/>
      <c r="R150" s="77"/>
      <c r="S150" s="56" t="s">
        <v>48</v>
      </c>
      <c r="T150" s="63">
        <v>44825</v>
      </c>
      <c r="U150" s="64" t="s">
        <v>46</v>
      </c>
      <c r="V150" s="63" t="str">
        <f t="shared" si="10"/>
        <v/>
      </c>
      <c r="W150" s="65" t="str">
        <f t="shared" ca="1" si="11"/>
        <v/>
      </c>
      <c r="X150" s="65" t="s">
        <v>40</v>
      </c>
      <c r="Y150" s="65"/>
      <c r="Z150" s="67"/>
      <c r="AA150" s="67"/>
      <c r="AB150" s="67"/>
      <c r="AC150" s="67"/>
      <c r="AD150" s="67"/>
      <c r="AE150" s="67"/>
      <c r="AF150" s="66"/>
      <c r="AG150" s="66"/>
      <c r="AH150" s="69"/>
      <c r="AI150" s="69"/>
      <c r="AJ150" s="69"/>
      <c r="AK150" s="69"/>
      <c r="AL150" s="69"/>
      <c r="AM150" s="69"/>
      <c r="AN150" s="69"/>
      <c r="AO150" s="69"/>
      <c r="AP150" s="66"/>
      <c r="AQ150" s="65" t="str">
        <f ca="1">IF(ALL_02FEB2024[[#This Row],[Days to Contract End]]&lt;=90,"R",IF(AND(ALL_02FEB2024[[#This Row],[Days to Contract End]]&lt;180),"A","G"))</f>
        <v>G</v>
      </c>
      <c r="AR150" s="70"/>
      <c r="AS150" s="51"/>
      <c r="AT150" s="52"/>
      <c r="AU150" s="52"/>
    </row>
    <row r="151" spans="2:47">
      <c r="B151" s="147" t="s">
        <v>188</v>
      </c>
      <c r="C151" s="71">
        <f>IFERROR(VLOOKUP(B151,'QB Consolidated Contacts'!$A$1:$F$333,6),"-")</f>
        <v>0</v>
      </c>
      <c r="D151" s="208" t="s">
        <v>132</v>
      </c>
      <c r="E151" s="62" t="s">
        <v>158</v>
      </c>
      <c r="F151" s="62" t="s">
        <v>295</v>
      </c>
      <c r="G151" s="62"/>
      <c r="H151" s="143" t="s">
        <v>125</v>
      </c>
      <c r="I151" s="54" t="s">
        <v>39</v>
      </c>
      <c r="J151" s="54"/>
      <c r="K151" s="54" t="s">
        <v>309</v>
      </c>
      <c r="L151" s="31" t="s">
        <v>42</v>
      </c>
      <c r="M151" s="31"/>
      <c r="N151" s="31"/>
      <c r="O151" s="55" t="s">
        <v>290</v>
      </c>
      <c r="P151" s="55"/>
      <c r="Q151" s="77"/>
      <c r="R151" s="77"/>
      <c r="S151" s="56">
        <f>36+4+8+4+6</f>
        <v>58</v>
      </c>
      <c r="T151" s="63">
        <v>44834</v>
      </c>
      <c r="U151" s="233" t="s">
        <v>46</v>
      </c>
      <c r="V151" s="63" t="str">
        <f t="shared" si="10"/>
        <v/>
      </c>
      <c r="W151" s="65" t="str">
        <f t="shared" ca="1" si="11"/>
        <v/>
      </c>
      <c r="X151" s="65" t="s">
        <v>40</v>
      </c>
      <c r="Y151" s="65"/>
      <c r="Z151" s="67"/>
      <c r="AA151" s="67"/>
      <c r="AB151" s="67"/>
      <c r="AC151" s="67"/>
      <c r="AD151" s="67"/>
      <c r="AE151" s="67"/>
      <c r="AF151" s="66"/>
      <c r="AG151" s="66"/>
      <c r="AH151" s="66"/>
      <c r="AI151" s="66"/>
      <c r="AJ151" s="66"/>
      <c r="AK151" s="66"/>
      <c r="AL151" s="66"/>
      <c r="AM151" s="66"/>
      <c r="AN151" s="66"/>
      <c r="AO151" s="66"/>
      <c r="AP151" s="66"/>
      <c r="AQ151" s="65" t="str">
        <f ca="1">IF(ALL_02FEB2024[[#This Row],[Days to Contract End]]&lt;=90,"R",IF(AND(ALL_02FEB2024[[#This Row],[Days to Contract End]]&lt;180),"A","G"))</f>
        <v>G</v>
      </c>
      <c r="AR151" s="70"/>
      <c r="AS151" s="51"/>
      <c r="AT151" s="52"/>
      <c r="AU151" s="52"/>
    </row>
    <row r="152" spans="2:47" ht="30">
      <c r="B152" s="147" t="s">
        <v>189</v>
      </c>
      <c r="C152" s="71">
        <f>IFERROR(VLOOKUP(B152,'QB Consolidated Contacts'!$A$1:$F$333,6),"-")</f>
        <v>0</v>
      </c>
      <c r="D152" s="208"/>
      <c r="E152" s="62"/>
      <c r="F152" s="62" t="s">
        <v>108</v>
      </c>
      <c r="G152" s="62"/>
      <c r="H152" s="144"/>
      <c r="I152" s="54" t="s">
        <v>40</v>
      </c>
      <c r="J152" s="54"/>
      <c r="K152" s="54" t="s">
        <v>309</v>
      </c>
      <c r="L152" s="31" t="s">
        <v>51</v>
      </c>
      <c r="M152" s="31"/>
      <c r="N152" s="31"/>
      <c r="O152" s="55"/>
      <c r="P152" s="55"/>
      <c r="Q152" s="77"/>
      <c r="R152" s="77"/>
      <c r="S152" s="56"/>
      <c r="T152" s="63"/>
      <c r="U152" s="64"/>
      <c r="V152" s="63">
        <f t="shared" si="10"/>
        <v>0</v>
      </c>
      <c r="W152" s="65">
        <f t="shared" ca="1" si="11"/>
        <v>-46093</v>
      </c>
      <c r="X152" s="65"/>
      <c r="Y152" s="65"/>
      <c r="Z152" s="67"/>
      <c r="AA152" s="67"/>
      <c r="AB152" s="67"/>
      <c r="AC152" s="67"/>
      <c r="AD152" s="67"/>
      <c r="AE152" s="67"/>
      <c r="AF152" s="66"/>
      <c r="AG152" s="66"/>
      <c r="AH152" s="66"/>
      <c r="AI152" s="66"/>
      <c r="AJ152" s="66"/>
      <c r="AK152" s="66"/>
      <c r="AL152" s="66"/>
      <c r="AM152" s="66"/>
      <c r="AN152" s="66"/>
      <c r="AO152" s="66"/>
      <c r="AP152" s="66"/>
      <c r="AQ152" s="65" t="str">
        <f ca="1">IF(ALL_02FEB2024[[#This Row],[Days to Contract End]]&lt;=90,"R",IF(AND(ALL_02FEB2024[[#This Row],[Days to Contract End]]&lt;180),"A","G"))</f>
        <v>R</v>
      </c>
      <c r="AR152" s="70"/>
      <c r="AS152" s="51"/>
      <c r="AT152" s="52"/>
      <c r="AU152" s="52"/>
    </row>
    <row r="153" spans="2:47">
      <c r="B153" s="147" t="s">
        <v>190</v>
      </c>
      <c r="C153" s="71">
        <f>IFERROR(VLOOKUP(B153,'QB Consolidated Contacts'!$A$1:$F$333,6),"-")</f>
        <v>0</v>
      </c>
      <c r="D153" s="208"/>
      <c r="E153" s="62" t="s">
        <v>43</v>
      </c>
      <c r="F153" s="62" t="s">
        <v>44</v>
      </c>
      <c r="G153" s="62"/>
      <c r="H153" s="149" t="s">
        <v>191</v>
      </c>
      <c r="I153" s="54" t="s">
        <v>40</v>
      </c>
      <c r="J153" s="54"/>
      <c r="K153" s="54" t="s">
        <v>315</v>
      </c>
      <c r="L153" s="31" t="s">
        <v>42</v>
      </c>
      <c r="M153" s="31" t="s">
        <v>39</v>
      </c>
      <c r="N153" s="31"/>
      <c r="O153" s="55"/>
      <c r="P153" s="55"/>
      <c r="Q153" s="77"/>
      <c r="R153" s="77"/>
      <c r="S153" s="56"/>
      <c r="T153" s="63"/>
      <c r="U153" s="64"/>
      <c r="V153" s="63">
        <f t="shared" si="10"/>
        <v>0</v>
      </c>
      <c r="W153" s="64">
        <f t="shared" ca="1" si="11"/>
        <v>-46093</v>
      </c>
      <c r="X153" s="65"/>
      <c r="Y153" s="65"/>
      <c r="Z153" s="67"/>
      <c r="AA153" s="67"/>
      <c r="AB153" s="67"/>
      <c r="AC153" s="67"/>
      <c r="AD153" s="67"/>
      <c r="AE153" s="67"/>
      <c r="AF153" s="66"/>
      <c r="AG153" s="66"/>
      <c r="AH153" s="69"/>
      <c r="AI153" s="69"/>
      <c r="AJ153" s="69"/>
      <c r="AK153" s="69"/>
      <c r="AL153" s="69"/>
      <c r="AM153" s="69"/>
      <c r="AN153" s="69"/>
      <c r="AO153" s="69"/>
      <c r="AP153" s="66"/>
      <c r="AQ153" s="64" t="str">
        <f ca="1">IF(ALL_02FEB2024[[#This Row],[Days to Contract End]]&lt;=90,"R",IF(AND(ALL_02FEB2024[[#This Row],[Days to Contract End]]&lt;180),"A","G"))</f>
        <v>R</v>
      </c>
      <c r="AR153" s="70"/>
      <c r="AS153" s="51"/>
      <c r="AT153" s="52"/>
      <c r="AU153" s="52"/>
    </row>
    <row r="154" spans="2:47" ht="45">
      <c r="B154" s="147" t="s">
        <v>192</v>
      </c>
      <c r="C154" s="71">
        <f>IFERROR(VLOOKUP(B154,'QB Consolidated Contacts'!$A$1:$F$333,6),"-")</f>
        <v>0</v>
      </c>
      <c r="D154" s="208"/>
      <c r="E154" s="62"/>
      <c r="F154" s="62" t="s">
        <v>108</v>
      </c>
      <c r="G154" s="62"/>
      <c r="H154" s="149" t="s">
        <v>193</v>
      </c>
      <c r="I154" s="54" t="s">
        <v>40</v>
      </c>
      <c r="J154" s="54"/>
      <c r="K154" s="54" t="s">
        <v>309</v>
      </c>
      <c r="L154" s="31"/>
      <c r="M154" s="31"/>
      <c r="N154" s="31"/>
      <c r="O154" s="55" t="s">
        <v>290</v>
      </c>
      <c r="P154" s="55"/>
      <c r="Q154" s="77"/>
      <c r="R154" s="77"/>
      <c r="S154" s="56"/>
      <c r="T154" s="63"/>
      <c r="U154" s="64"/>
      <c r="V154" s="63">
        <f t="shared" si="10"/>
        <v>0</v>
      </c>
      <c r="W154" s="64">
        <f t="shared" ca="1" si="11"/>
        <v>-46093</v>
      </c>
      <c r="X154" s="65"/>
      <c r="Y154" s="65"/>
      <c r="Z154" s="67" t="s">
        <v>48</v>
      </c>
      <c r="AA154" s="67" t="s">
        <v>48</v>
      </c>
      <c r="AB154" s="67"/>
      <c r="AC154" s="67"/>
      <c r="AD154" s="67" t="s">
        <v>48</v>
      </c>
      <c r="AE154" s="67"/>
      <c r="AF154" s="66" t="s">
        <v>48</v>
      </c>
      <c r="AG154" s="66" t="s">
        <v>48</v>
      </c>
      <c r="AH154" s="69"/>
      <c r="AI154" s="69"/>
      <c r="AJ154" s="69"/>
      <c r="AK154" s="69"/>
      <c r="AL154" s="69"/>
      <c r="AM154" s="69"/>
      <c r="AN154" s="69"/>
      <c r="AO154" s="69"/>
      <c r="AP154" s="66" t="s">
        <v>48</v>
      </c>
      <c r="AQ154" s="64" t="str">
        <f ca="1">IF(ALL_02FEB2024[[#This Row],[Days to Contract End]]&lt;=90,"R",IF(AND(ALL_02FEB2024[[#This Row],[Days to Contract End]]&lt;180),"A","G"))</f>
        <v>R</v>
      </c>
      <c r="AR154" s="70" t="s">
        <v>194</v>
      </c>
      <c r="AS154" s="51"/>
      <c r="AT154" s="52"/>
      <c r="AU154" s="52"/>
    </row>
    <row r="155" spans="2:47">
      <c r="B155" s="147" t="s">
        <v>639</v>
      </c>
      <c r="C155" s="71">
        <f>IFERROR(VLOOKUP(B155,'QB Consolidated Contacts'!$A$1:$F$333,6),"-")</f>
        <v>0</v>
      </c>
      <c r="D155" s="208"/>
      <c r="E155" s="62" t="s">
        <v>43</v>
      </c>
      <c r="F155" s="62" t="s">
        <v>44</v>
      </c>
      <c r="G155" s="62"/>
      <c r="H155" s="143" t="s">
        <v>45</v>
      </c>
      <c r="I155" s="54" t="s">
        <v>39</v>
      </c>
      <c r="J155" s="54"/>
      <c r="K155" s="54" t="s">
        <v>315</v>
      </c>
      <c r="L155" s="31" t="s">
        <v>42</v>
      </c>
      <c r="M155" s="31"/>
      <c r="N155" s="31"/>
      <c r="O155" s="55"/>
      <c r="P155" s="55"/>
      <c r="Q155" s="77"/>
      <c r="R155" s="77"/>
      <c r="S155" s="56"/>
      <c r="T155" s="63">
        <v>44973</v>
      </c>
      <c r="U155" s="64" t="s">
        <v>46</v>
      </c>
      <c r="V155" s="63" t="str">
        <f t="shared" si="10"/>
        <v/>
      </c>
      <c r="W155" s="65" t="str">
        <f t="shared" ca="1" si="11"/>
        <v/>
      </c>
      <c r="X155" s="65"/>
      <c r="Y155" s="65"/>
      <c r="Z155" s="67"/>
      <c r="AA155" s="67"/>
      <c r="AB155" s="67"/>
      <c r="AC155" s="67"/>
      <c r="AD155" s="67"/>
      <c r="AE155" s="67"/>
      <c r="AF155" s="66"/>
      <c r="AG155" s="66"/>
      <c r="AH155" s="66"/>
      <c r="AI155" s="66"/>
      <c r="AJ155" s="66"/>
      <c r="AK155" s="66"/>
      <c r="AL155" s="66"/>
      <c r="AM155" s="66"/>
      <c r="AN155" s="66"/>
      <c r="AO155" s="66"/>
      <c r="AP155" s="66"/>
      <c r="AQ155" s="65" t="str">
        <f ca="1">IF(ALL_02FEB2024[[#This Row],[Days to Contract End]]&lt;=90,"R",IF(AND(ALL_02FEB2024[[#This Row],[Days to Contract End]]&lt;180),"A","G"))</f>
        <v>G</v>
      </c>
      <c r="AR155" s="70"/>
      <c r="AS155" s="51"/>
      <c r="AT155" s="52"/>
      <c r="AU155" s="52"/>
    </row>
    <row r="156" spans="2:47">
      <c r="B156" s="147" t="s">
        <v>639</v>
      </c>
      <c r="C156" s="71">
        <f>IFERROR(VLOOKUP(B156,'QB Consolidated Contacts'!$A$1:$F$333,6),"-")</f>
        <v>0</v>
      </c>
      <c r="D156" s="208"/>
      <c r="E156" s="62" t="s">
        <v>66</v>
      </c>
      <c r="F156" s="62" t="s">
        <v>44</v>
      </c>
      <c r="G156" s="62"/>
      <c r="H156" s="143" t="s">
        <v>78</v>
      </c>
      <c r="I156" s="54" t="s">
        <v>40</v>
      </c>
      <c r="J156" s="54"/>
      <c r="K156" s="54"/>
      <c r="L156" s="31" t="s">
        <v>42</v>
      </c>
      <c r="M156" s="31"/>
      <c r="N156" s="31"/>
      <c r="O156" s="55"/>
      <c r="P156" s="55"/>
      <c r="Q156" s="77"/>
      <c r="R156" s="77"/>
      <c r="S156" s="56"/>
      <c r="T156" s="63">
        <v>44935</v>
      </c>
      <c r="U156" s="64" t="s">
        <v>144</v>
      </c>
      <c r="V156" s="63" t="str">
        <f t="shared" ref="V156:V159" si="12">IFERROR(EDATE(T156,U156),"")</f>
        <v/>
      </c>
      <c r="W156" s="65" t="str">
        <f t="shared" ca="1" si="11"/>
        <v/>
      </c>
      <c r="X156" s="65"/>
      <c r="Y156" s="65"/>
      <c r="Z156" s="67"/>
      <c r="AA156" s="67"/>
      <c r="AB156" s="67"/>
      <c r="AC156" s="67"/>
      <c r="AD156" s="67"/>
      <c r="AE156" s="67"/>
      <c r="AF156" s="66"/>
      <c r="AG156" s="66"/>
      <c r="AH156" s="69"/>
      <c r="AI156" s="69"/>
      <c r="AJ156" s="69"/>
      <c r="AK156" s="69"/>
      <c r="AL156" s="69"/>
      <c r="AM156" s="69"/>
      <c r="AN156" s="69"/>
      <c r="AO156" s="69"/>
      <c r="AP156" s="66"/>
      <c r="AQ156" s="65" t="str">
        <f ca="1">IF(ALL_02FEB2024[[#This Row],[Days to Contract End]]&lt;=90,"R",IF(AND(ALL_02FEB2024[[#This Row],[Days to Contract End]]&lt;180),"A","G"))</f>
        <v>G</v>
      </c>
      <c r="AR156" s="70"/>
      <c r="AS156" s="51"/>
      <c r="AT156" s="52"/>
      <c r="AU156" s="52"/>
    </row>
    <row r="157" spans="2:47" ht="30">
      <c r="B157" s="147" t="s">
        <v>639</v>
      </c>
      <c r="C157" s="71">
        <f>IFERROR(VLOOKUP(B157,'QB Consolidated Contacts'!$A$1:$F$333,6),"-")</f>
        <v>0</v>
      </c>
      <c r="D157" s="208" t="s">
        <v>132</v>
      </c>
      <c r="E157" s="62" t="s">
        <v>158</v>
      </c>
      <c r="F157" s="62" t="s">
        <v>175</v>
      </c>
      <c r="G157" s="62"/>
      <c r="H157" s="143" t="s">
        <v>640</v>
      </c>
      <c r="I157" s="54" t="s">
        <v>39</v>
      </c>
      <c r="J157" s="54"/>
      <c r="K157" s="54" t="s">
        <v>315</v>
      </c>
      <c r="L157" s="31" t="s">
        <v>42</v>
      </c>
      <c r="M157" s="31"/>
      <c r="N157" s="31"/>
      <c r="O157" s="55"/>
      <c r="P157" s="55"/>
      <c r="Q157" s="77"/>
      <c r="R157" s="77"/>
      <c r="S157" s="56">
        <v>404</v>
      </c>
      <c r="T157" s="63">
        <v>44988</v>
      </c>
      <c r="U157" s="64" t="s">
        <v>282</v>
      </c>
      <c r="V157" s="63" t="str">
        <f t="shared" si="12"/>
        <v/>
      </c>
      <c r="W157" s="65" t="str">
        <f t="shared" ca="1" si="11"/>
        <v/>
      </c>
      <c r="X157" s="65"/>
      <c r="Y157" s="65"/>
      <c r="Z157" s="67"/>
      <c r="AA157" s="67"/>
      <c r="AB157" s="67"/>
      <c r="AC157" s="67"/>
      <c r="AD157" s="67"/>
      <c r="AE157" s="67"/>
      <c r="AF157" s="66"/>
      <c r="AG157" s="66"/>
      <c r="AH157" s="69"/>
      <c r="AI157" s="69"/>
      <c r="AJ157" s="69"/>
      <c r="AK157" s="69"/>
      <c r="AL157" s="69"/>
      <c r="AM157" s="69"/>
      <c r="AN157" s="69"/>
      <c r="AO157" s="69"/>
      <c r="AP157" s="66"/>
      <c r="AQ157" s="65" t="str">
        <f ca="1">IF(ALL_02FEB2024[[#This Row],[Days to Contract End]]&lt;=90,"R",IF(AND(ALL_02FEB2024[[#This Row],[Days to Contract End]]&lt;180),"A","G"))</f>
        <v>G</v>
      </c>
      <c r="AR157" s="70"/>
      <c r="AS157" s="51"/>
      <c r="AT157" s="52"/>
      <c r="AU157" s="52"/>
    </row>
    <row r="158" spans="2:47" ht="30">
      <c r="B158" s="147" t="s">
        <v>198</v>
      </c>
      <c r="C158" s="71">
        <f>IFERROR(VLOOKUP(B158,'QB Consolidated Contacts'!$A$1:$F$333,6),"-")</f>
        <v>0</v>
      </c>
      <c r="D158" s="208"/>
      <c r="E158" s="62" t="s">
        <v>66</v>
      </c>
      <c r="F158" s="62" t="s">
        <v>44</v>
      </c>
      <c r="G158" s="62"/>
      <c r="H158" s="142" t="s">
        <v>78</v>
      </c>
      <c r="I158" s="54" t="s">
        <v>39</v>
      </c>
      <c r="J158" s="54"/>
      <c r="K158" s="54" t="s">
        <v>315</v>
      </c>
      <c r="L158" s="31"/>
      <c r="M158" s="31"/>
      <c r="N158" s="31"/>
      <c r="O158" s="55"/>
      <c r="P158" s="55"/>
      <c r="Q158" s="77"/>
      <c r="R158" s="77"/>
      <c r="S158" s="56"/>
      <c r="T158" s="63">
        <v>43431</v>
      </c>
      <c r="U158" s="64" t="s">
        <v>46</v>
      </c>
      <c r="V158" s="63" t="str">
        <f t="shared" si="12"/>
        <v/>
      </c>
      <c r="W158" s="65" t="str">
        <f t="shared" ca="1" si="11"/>
        <v/>
      </c>
      <c r="X158" s="65"/>
      <c r="Y158" s="65"/>
      <c r="Z158" s="67"/>
      <c r="AA158" s="67"/>
      <c r="AB158" s="67"/>
      <c r="AC158" s="67"/>
      <c r="AD158" s="67"/>
      <c r="AE158" s="67"/>
      <c r="AF158" s="66"/>
      <c r="AG158" s="66"/>
      <c r="AH158" s="69"/>
      <c r="AI158" s="69"/>
      <c r="AJ158" s="69"/>
      <c r="AK158" s="69"/>
      <c r="AL158" s="69"/>
      <c r="AM158" s="69"/>
      <c r="AN158" s="69"/>
      <c r="AO158" s="69"/>
      <c r="AP158" s="66"/>
      <c r="AQ158" s="65" t="str">
        <f ca="1">IF(ALL_02FEB2024[[#This Row],[Days to Contract End]]&lt;=90,"R",IF(AND(ALL_02FEB2024[[#This Row],[Days to Contract End]]&lt;180),"A","G"))</f>
        <v>G</v>
      </c>
      <c r="AR158" s="70"/>
      <c r="AS158" s="51"/>
      <c r="AT158" s="52"/>
      <c r="AU158" s="52"/>
    </row>
    <row r="159" spans="2:47" ht="30">
      <c r="B159" s="147" t="s">
        <v>198</v>
      </c>
      <c r="C159" s="71">
        <f>IFERROR(VLOOKUP(B159,'QB Consolidated Contacts'!$A$1:$F$333,6),"-")</f>
        <v>0</v>
      </c>
      <c r="D159" s="208"/>
      <c r="E159" s="62" t="s">
        <v>43</v>
      </c>
      <c r="F159" s="62" t="s">
        <v>44</v>
      </c>
      <c r="G159" s="62"/>
      <c r="H159" s="142" t="s">
        <v>45</v>
      </c>
      <c r="I159" s="54" t="s">
        <v>39</v>
      </c>
      <c r="J159" s="54"/>
      <c r="K159" s="54" t="s">
        <v>315</v>
      </c>
      <c r="L159" s="31" t="s">
        <v>42</v>
      </c>
      <c r="M159" s="31" t="s">
        <v>40</v>
      </c>
      <c r="N159" s="31"/>
      <c r="O159" s="55" t="s">
        <v>571</v>
      </c>
      <c r="P159" s="55"/>
      <c r="Q159" s="77"/>
      <c r="R159" s="77"/>
      <c r="S159" s="56"/>
      <c r="T159" s="63">
        <v>43435</v>
      </c>
      <c r="U159" s="64" t="s">
        <v>46</v>
      </c>
      <c r="V159" s="63" t="str">
        <f t="shared" si="12"/>
        <v/>
      </c>
      <c r="W159" s="65" t="str">
        <f t="shared" ca="1" si="11"/>
        <v/>
      </c>
      <c r="X159" s="65"/>
      <c r="Y159" s="65"/>
      <c r="Z159" s="67"/>
      <c r="AA159" s="67"/>
      <c r="AB159" s="67"/>
      <c r="AC159" s="67"/>
      <c r="AD159" s="67"/>
      <c r="AE159" s="67"/>
      <c r="AF159" s="66"/>
      <c r="AG159" s="66"/>
      <c r="AH159" s="69"/>
      <c r="AI159" s="69"/>
      <c r="AJ159" s="69"/>
      <c r="AK159" s="69"/>
      <c r="AL159" s="69"/>
      <c r="AM159" s="69"/>
      <c r="AN159" s="69"/>
      <c r="AO159" s="69"/>
      <c r="AP159" s="66"/>
      <c r="AQ159" s="65" t="str">
        <f ca="1">IF(ALL_02FEB2024[[#This Row],[Days to Contract End]]&lt;=90,"R",IF(AND(ALL_02FEB2024[[#This Row],[Days to Contract End]]&lt;180),"A","G"))</f>
        <v>G</v>
      </c>
      <c r="AR159" s="70"/>
      <c r="AS159" s="51"/>
      <c r="AT159" s="52"/>
      <c r="AU159" s="52"/>
    </row>
    <row r="160" spans="2:47" ht="30">
      <c r="B160" s="147" t="s">
        <v>198</v>
      </c>
      <c r="C160" s="71">
        <f>IFERROR(VLOOKUP(B160,'QB Consolidated Contacts'!$A$1:$F$333,6),"-")</f>
        <v>0</v>
      </c>
      <c r="D160" s="208" t="s">
        <v>174</v>
      </c>
      <c r="E160" s="102" t="s">
        <v>158</v>
      </c>
      <c r="F160" s="62" t="s">
        <v>175</v>
      </c>
      <c r="G160" s="62"/>
      <c r="H160" s="142" t="s">
        <v>512</v>
      </c>
      <c r="I160" s="54" t="s">
        <v>39</v>
      </c>
      <c r="J160" s="54"/>
      <c r="K160" s="54" t="s">
        <v>317</v>
      </c>
      <c r="L160" s="31" t="s">
        <v>42</v>
      </c>
      <c r="M160" s="31"/>
      <c r="N160" s="31"/>
      <c r="O160" s="55" t="s">
        <v>290</v>
      </c>
      <c r="P160" s="55"/>
      <c r="Q160" s="77"/>
      <c r="R160" s="77"/>
      <c r="S160" s="56">
        <v>20</v>
      </c>
      <c r="T160" s="63">
        <v>44206</v>
      </c>
      <c r="U160" s="64">
        <v>1</v>
      </c>
      <c r="V160" s="63">
        <v>44247</v>
      </c>
      <c r="W160" s="64">
        <f t="shared" ca="1" si="11"/>
        <v>-1846</v>
      </c>
      <c r="X160" s="64"/>
      <c r="Y160" s="64"/>
      <c r="Z160" s="67" t="s">
        <v>48</v>
      </c>
      <c r="AA160" s="67" t="s">
        <v>48</v>
      </c>
      <c r="AB160" s="67"/>
      <c r="AC160" s="67"/>
      <c r="AD160" s="67" t="s">
        <v>48</v>
      </c>
      <c r="AE160" s="67"/>
      <c r="AF160" s="66" t="s">
        <v>48</v>
      </c>
      <c r="AG160" s="66" t="s">
        <v>48</v>
      </c>
      <c r="AH160" s="66"/>
      <c r="AI160" s="66"/>
      <c r="AJ160" s="66"/>
      <c r="AK160" s="66"/>
      <c r="AL160" s="66"/>
      <c r="AM160" s="66"/>
      <c r="AN160" s="66"/>
      <c r="AO160" s="66"/>
      <c r="AP160" s="66" t="s">
        <v>48</v>
      </c>
      <c r="AQ160" s="65" t="str">
        <f ca="1">IF(ALL_02FEB2024[[#This Row],[Days to Contract End]]&lt;=90,"R",IF(AND(ALL_02FEB2024[[#This Row],[Days to Contract End]]&lt;180),"A","G"))</f>
        <v>R</v>
      </c>
      <c r="AR160" s="70"/>
      <c r="AS160" s="72"/>
      <c r="AT160" s="51"/>
      <c r="AU160" s="52"/>
    </row>
    <row r="161" spans="2:47" ht="30">
      <c r="B161" s="147" t="s">
        <v>199</v>
      </c>
      <c r="C161" s="71">
        <f>IFERROR(VLOOKUP(B161,'QB Consolidated Contacts'!$A$1:$F$333,6),"-")</f>
        <v>0</v>
      </c>
      <c r="D161" s="208"/>
      <c r="E161" s="205"/>
      <c r="F161" s="62" t="s">
        <v>175</v>
      </c>
      <c r="G161" s="62" t="s">
        <v>632</v>
      </c>
      <c r="H161" s="144" t="s">
        <v>200</v>
      </c>
      <c r="I161" s="54"/>
      <c r="J161" s="54"/>
      <c r="K161" s="54"/>
      <c r="L161" s="31"/>
      <c r="M161" s="31"/>
      <c r="N161" s="31"/>
      <c r="O161" s="55"/>
      <c r="P161" s="55"/>
      <c r="Q161" s="77"/>
      <c r="R161" s="77"/>
      <c r="S161" s="56"/>
      <c r="T161" s="63"/>
      <c r="U161" s="64"/>
      <c r="V161" s="63">
        <f>IFERROR(EDATE(T161,U161),"")</f>
        <v>0</v>
      </c>
      <c r="W161" s="64">
        <f ca="1">IFERROR(V161-TODAY(),"")</f>
        <v>-46093</v>
      </c>
      <c r="X161" s="65"/>
      <c r="Y161" s="65"/>
      <c r="Z161" s="67"/>
      <c r="AA161" s="67"/>
      <c r="AB161" s="67"/>
      <c r="AC161" s="67"/>
      <c r="AD161" s="67"/>
      <c r="AE161" s="67"/>
      <c r="AF161" s="66"/>
      <c r="AG161" s="66"/>
      <c r="AH161" s="69"/>
      <c r="AI161" s="69"/>
      <c r="AJ161" s="69"/>
      <c r="AK161" s="69"/>
      <c r="AL161" s="69"/>
      <c r="AM161" s="69"/>
      <c r="AN161" s="69"/>
      <c r="AO161" s="69"/>
      <c r="AP161" s="66"/>
      <c r="AQ161" s="64" t="str">
        <f ca="1">IF(ALL_02FEB2024[[#This Row],[Days to Contract End]]&lt;=90,"R",IF(AND(ALL_02FEB2024[[#This Row],[Days to Contract End]]&lt;180),"A","G"))</f>
        <v>R</v>
      </c>
      <c r="AR161" s="70"/>
      <c r="AS161" s="72"/>
      <c r="AT161" s="51"/>
      <c r="AU161" s="52"/>
    </row>
    <row r="162" spans="2:47" ht="30">
      <c r="B162" s="147" t="s">
        <v>199</v>
      </c>
      <c r="C162" s="71">
        <f>IFERROR(VLOOKUP(B162,'QB Consolidated Contacts'!$A$1:$F$333,6),"-")</f>
        <v>0</v>
      </c>
      <c r="D162" s="208"/>
      <c r="E162" s="205"/>
      <c r="F162" s="62" t="s">
        <v>175</v>
      </c>
      <c r="G162" s="62" t="s">
        <v>632</v>
      </c>
      <c r="H162" s="144" t="s">
        <v>201</v>
      </c>
      <c r="I162" s="54"/>
      <c r="J162" s="54"/>
      <c r="K162" s="54"/>
      <c r="L162" s="31"/>
      <c r="M162" s="31"/>
      <c r="N162" s="31">
        <v>400593</v>
      </c>
      <c r="O162" s="55"/>
      <c r="P162" s="55"/>
      <c r="Q162" s="77"/>
      <c r="R162" s="77"/>
      <c r="S162" s="56"/>
      <c r="T162" s="63"/>
      <c r="U162" s="64"/>
      <c r="V162" s="63">
        <f>IFERROR(EDATE(T162,U162),"")</f>
        <v>0</v>
      </c>
      <c r="W162" s="64">
        <f ca="1">IFERROR(V162-TODAY(),"")</f>
        <v>-46093</v>
      </c>
      <c r="X162" s="65"/>
      <c r="Y162" s="65"/>
      <c r="Z162" s="67"/>
      <c r="AA162" s="67"/>
      <c r="AB162" s="67"/>
      <c r="AC162" s="67"/>
      <c r="AD162" s="67"/>
      <c r="AE162" s="67"/>
      <c r="AF162" s="66"/>
      <c r="AG162" s="66"/>
      <c r="AH162" s="69"/>
      <c r="AI162" s="69"/>
      <c r="AJ162" s="69"/>
      <c r="AK162" s="69"/>
      <c r="AL162" s="69"/>
      <c r="AM162" s="69"/>
      <c r="AN162" s="69"/>
      <c r="AO162" s="69"/>
      <c r="AP162" s="66"/>
      <c r="AQ162" s="64" t="str">
        <f ca="1">IF(ALL_02FEB2024[[#This Row],[Days to Contract End]]&lt;=90,"R",IF(AND(ALL_02FEB2024[[#This Row],[Days to Contract End]]&lt;180),"A","G"))</f>
        <v>R</v>
      </c>
      <c r="AR162" s="70"/>
      <c r="AS162" s="72"/>
      <c r="AT162" s="51"/>
      <c r="AU162" s="52"/>
    </row>
    <row r="163" spans="2:47" ht="30">
      <c r="B163" s="147" t="s">
        <v>515</v>
      </c>
      <c r="C163" s="71">
        <f>IFERROR(VLOOKUP(B163,'QB Consolidated Contacts'!$A$1:$F$333,6),"-")</f>
        <v>0</v>
      </c>
      <c r="D163" s="208" t="s">
        <v>132</v>
      </c>
      <c r="E163" s="205" t="s">
        <v>351</v>
      </c>
      <c r="F163" s="62" t="s">
        <v>175</v>
      </c>
      <c r="G163" s="62" t="s">
        <v>633</v>
      </c>
      <c r="H163" s="142" t="s">
        <v>516</v>
      </c>
      <c r="I163" s="54" t="s">
        <v>40</v>
      </c>
      <c r="J163" s="54" t="s">
        <v>40</v>
      </c>
      <c r="K163" s="54" t="s">
        <v>315</v>
      </c>
      <c r="L163" s="31" t="s">
        <v>42</v>
      </c>
      <c r="M163" s="31"/>
      <c r="N163" s="31"/>
      <c r="O163" s="55"/>
      <c r="P163" s="55"/>
      <c r="Q163" s="77"/>
      <c r="R163" s="77"/>
      <c r="S163" s="56"/>
      <c r="T163" s="63">
        <v>45155</v>
      </c>
      <c r="U163" s="64">
        <v>2</v>
      </c>
      <c r="V163" s="63">
        <f>IFERROR(EDATE(T163,U163),"")</f>
        <v>45216</v>
      </c>
      <c r="W163" s="64">
        <f ca="1">IFERROR(V163-TODAY(),"")</f>
        <v>-877</v>
      </c>
      <c r="X163" s="65"/>
      <c r="Y163" s="65"/>
      <c r="Z163" s="67"/>
      <c r="AA163" s="67"/>
      <c r="AB163" s="67"/>
      <c r="AC163" s="67"/>
      <c r="AD163" s="67"/>
      <c r="AE163" s="67"/>
      <c r="AF163" s="66"/>
      <c r="AG163" s="66"/>
      <c r="AH163" s="69"/>
      <c r="AI163" s="69"/>
      <c r="AJ163" s="69"/>
      <c r="AK163" s="69"/>
      <c r="AL163" s="69"/>
      <c r="AM163" s="69"/>
      <c r="AN163" s="69"/>
      <c r="AO163" s="69"/>
      <c r="AP163" s="66"/>
      <c r="AQ163" s="64" t="str">
        <f ca="1">IF(ALL_02FEB2024[[#This Row],[Days to Contract End]]&lt;=90,"R",IF(AND(ALL_02FEB2024[[#This Row],[Days to Contract End]]&lt;180),"A","G"))</f>
        <v>R</v>
      </c>
      <c r="AR163" s="70" t="s">
        <v>517</v>
      </c>
      <c r="AS163" s="72"/>
      <c r="AT163" s="51"/>
      <c r="AU163" s="52"/>
    </row>
    <row r="164" spans="2:47" ht="30">
      <c r="B164" s="147" t="s">
        <v>202</v>
      </c>
      <c r="C164" s="71">
        <f>IFERROR(VLOOKUP(B164,'QB Consolidated Contacts'!$A$1:$F$333,6),"-")</f>
        <v>0</v>
      </c>
      <c r="D164" s="208" t="s">
        <v>132</v>
      </c>
      <c r="E164" s="62" t="s">
        <v>158</v>
      </c>
      <c r="F164" s="62" t="s">
        <v>288</v>
      </c>
      <c r="G164" s="62" t="s">
        <v>634</v>
      </c>
      <c r="H164" s="142" t="s">
        <v>316</v>
      </c>
      <c r="I164" s="54" t="s">
        <v>39</v>
      </c>
      <c r="J164" s="54"/>
      <c r="K164" s="54" t="s">
        <v>315</v>
      </c>
      <c r="L164" s="31" t="s">
        <v>42</v>
      </c>
      <c r="M164" s="31" t="s">
        <v>39</v>
      </c>
      <c r="N164" s="31"/>
      <c r="O164" s="55" t="s">
        <v>290</v>
      </c>
      <c r="P164" s="55"/>
      <c r="Q164" s="77"/>
      <c r="R164" s="77"/>
      <c r="S164" s="56">
        <v>30</v>
      </c>
      <c r="T164" s="63">
        <v>42348</v>
      </c>
      <c r="U164" s="64">
        <v>24</v>
      </c>
      <c r="V164" s="63">
        <f t="shared" ref="V164:V193" si="13">IFERROR(EDATE(T164,U164),"")</f>
        <v>43079</v>
      </c>
      <c r="W164" s="64">
        <f t="shared" ca="1" si="11"/>
        <v>-3014</v>
      </c>
      <c r="X164" s="64"/>
      <c r="Y164" s="64"/>
      <c r="Z164" s="67" t="s">
        <v>48</v>
      </c>
      <c r="AA164" s="67" t="s">
        <v>48</v>
      </c>
      <c r="AB164" s="67"/>
      <c r="AC164" s="67"/>
      <c r="AD164" s="67" t="s">
        <v>48</v>
      </c>
      <c r="AE164" s="67"/>
      <c r="AF164" s="66" t="s">
        <v>48</v>
      </c>
      <c r="AG164" s="66" t="s">
        <v>48</v>
      </c>
      <c r="AH164" s="66"/>
      <c r="AI164" s="66"/>
      <c r="AJ164" s="66"/>
      <c r="AK164" s="66"/>
      <c r="AL164" s="66"/>
      <c r="AM164" s="66"/>
      <c r="AN164" s="66"/>
      <c r="AO164" s="66"/>
      <c r="AP164" s="66" t="s">
        <v>48</v>
      </c>
      <c r="AQ164" s="65" t="str">
        <f ca="1">IF(ALL_02FEB2024[[#This Row],[Days to Contract End]]&lt;=90,"R",IF(AND(ALL_02FEB2024[[#This Row],[Days to Contract End]]&lt;180),"A","G"))</f>
        <v>R</v>
      </c>
      <c r="AR164" s="70"/>
      <c r="AS164" s="72"/>
      <c r="AT164" s="51"/>
      <c r="AU164" s="52"/>
    </row>
    <row r="165" spans="2:47" ht="30">
      <c r="B165" s="147" t="s">
        <v>202</v>
      </c>
      <c r="C165" s="71">
        <f>IFERROR(VLOOKUP(B165,'QB Consolidated Contacts'!$A$1:$F$333,6),"-")</f>
        <v>0</v>
      </c>
      <c r="D165" s="208" t="s">
        <v>132</v>
      </c>
      <c r="E165" s="62" t="s">
        <v>158</v>
      </c>
      <c r="F165" s="62" t="s">
        <v>288</v>
      </c>
      <c r="G165" s="62" t="s">
        <v>634</v>
      </c>
      <c r="H165" s="142" t="s">
        <v>518</v>
      </c>
      <c r="I165" s="54" t="s">
        <v>39</v>
      </c>
      <c r="J165" s="54" t="s">
        <v>39</v>
      </c>
      <c r="K165" s="54" t="s">
        <v>315</v>
      </c>
      <c r="L165" s="31" t="s">
        <v>42</v>
      </c>
      <c r="M165" s="31" t="s">
        <v>39</v>
      </c>
      <c r="N165" s="31"/>
      <c r="O165" s="55" t="s">
        <v>290</v>
      </c>
      <c r="P165" s="55"/>
      <c r="Q165" s="77">
        <v>5000</v>
      </c>
      <c r="R165" s="77">
        <f>ALL_02FEB2024[[#This Row],[Monthly Budget]]*9</f>
        <v>45000</v>
      </c>
      <c r="S165" s="56">
        <v>360</v>
      </c>
      <c r="T165" s="63">
        <v>44986</v>
      </c>
      <c r="U165" s="64">
        <v>9</v>
      </c>
      <c r="V165" s="63">
        <f>IFERROR(EOMONTH(T165,U165),"")</f>
        <v>45291</v>
      </c>
      <c r="W165" s="64">
        <f ca="1">IFERROR(V165-TODAY(),"")</f>
        <v>-802</v>
      </c>
      <c r="X165" s="65"/>
      <c r="Y165" s="65"/>
      <c r="Z165" s="67"/>
      <c r="AA165" s="67"/>
      <c r="AB165" s="67"/>
      <c r="AC165" s="67"/>
      <c r="AD165" s="67"/>
      <c r="AE165" s="67"/>
      <c r="AF165" s="66"/>
      <c r="AG165" s="66"/>
      <c r="AH165" s="69"/>
      <c r="AI165" s="69"/>
      <c r="AJ165" s="69"/>
      <c r="AK165" s="69"/>
      <c r="AL165" s="69"/>
      <c r="AM165" s="69"/>
      <c r="AN165" s="69"/>
      <c r="AO165" s="69"/>
      <c r="AP165" s="66"/>
      <c r="AQ165" s="64" t="str">
        <f ca="1">IF(ALL_02FEB2024[[#This Row],[Days to Contract End]]&lt;=90,"R",IF(AND(ALL_02FEB2024[[#This Row],[Days to Contract End]]&lt;180),"A","G"))</f>
        <v>R</v>
      </c>
      <c r="AR165" s="70"/>
      <c r="AS165" s="72"/>
      <c r="AT165" s="51"/>
      <c r="AU165" s="52"/>
    </row>
    <row r="166" spans="2:47" ht="45">
      <c r="B166" s="147" t="s">
        <v>202</v>
      </c>
      <c r="C166" s="71">
        <f>IFERROR(VLOOKUP(B166,'QB Consolidated Contacts'!$A$1:$F$333,6),"-")</f>
        <v>0</v>
      </c>
      <c r="D166" s="208"/>
      <c r="E166" s="62" t="s">
        <v>169</v>
      </c>
      <c r="F166" s="62" t="s">
        <v>44</v>
      </c>
      <c r="G166" s="62"/>
      <c r="H166" s="142" t="s">
        <v>169</v>
      </c>
      <c r="I166" s="54" t="s">
        <v>39</v>
      </c>
      <c r="J166" s="54" t="s">
        <v>39</v>
      </c>
      <c r="K166" s="54" t="s">
        <v>315</v>
      </c>
      <c r="L166" s="31" t="s">
        <v>42</v>
      </c>
      <c r="M166" s="31" t="s">
        <v>39</v>
      </c>
      <c r="N166" s="31"/>
      <c r="O166" s="55"/>
      <c r="P166" s="55" t="s">
        <v>182</v>
      </c>
      <c r="Q166" s="77"/>
      <c r="R166" s="77"/>
      <c r="S166" s="56"/>
      <c r="T166" s="63">
        <v>44986</v>
      </c>
      <c r="U166" s="64">
        <v>9</v>
      </c>
      <c r="V166" s="63">
        <f>IFERROR(EOMONTH(T166,U166),"")</f>
        <v>45291</v>
      </c>
      <c r="W166" s="64">
        <f ca="1">IFERROR(V166-TODAY(),"")</f>
        <v>-802</v>
      </c>
      <c r="X166" s="65" t="s">
        <v>39</v>
      </c>
      <c r="Y166" s="65"/>
      <c r="Z166" s="67"/>
      <c r="AA166" s="67"/>
      <c r="AB166" s="67"/>
      <c r="AC166" s="67"/>
      <c r="AD166" s="67"/>
      <c r="AE166" s="67"/>
      <c r="AF166" s="66"/>
      <c r="AG166" s="66"/>
      <c r="AH166" s="69"/>
      <c r="AI166" s="69"/>
      <c r="AJ166" s="69"/>
      <c r="AK166" s="69"/>
      <c r="AL166" s="69"/>
      <c r="AM166" s="69"/>
      <c r="AN166" s="69"/>
      <c r="AO166" s="69"/>
      <c r="AP166" s="66"/>
      <c r="AQ166" s="64" t="str">
        <f ca="1">IF(ALL_02FEB2024[[#This Row],[Days to Contract End]]&lt;=90,"R",IF(AND(ALL_02FEB2024[[#This Row],[Days to Contract End]]&lt;180),"A","G"))</f>
        <v>R</v>
      </c>
      <c r="AR166" s="70"/>
      <c r="AS166" s="72"/>
      <c r="AT166" s="51"/>
      <c r="AU166" s="52"/>
    </row>
    <row r="167" spans="2:47" ht="30">
      <c r="B167" s="147" t="s">
        <v>202</v>
      </c>
      <c r="C167" s="71">
        <f>IFERROR(VLOOKUP(B167,'QB Consolidated Contacts'!$A$1:$F$333,6),"-")</f>
        <v>0</v>
      </c>
      <c r="D167" s="208" t="s">
        <v>174</v>
      </c>
      <c r="E167" s="62" t="s">
        <v>158</v>
      </c>
      <c r="F167" s="62" t="s">
        <v>175</v>
      </c>
      <c r="G167" s="62"/>
      <c r="H167" s="143" t="s">
        <v>519</v>
      </c>
      <c r="I167" s="54" t="s">
        <v>39</v>
      </c>
      <c r="J167" s="54"/>
      <c r="K167" s="54" t="s">
        <v>309</v>
      </c>
      <c r="L167" s="31" t="s">
        <v>42</v>
      </c>
      <c r="M167" s="31"/>
      <c r="N167" s="31"/>
      <c r="O167" s="55" t="s">
        <v>290</v>
      </c>
      <c r="P167" s="55"/>
      <c r="Q167" s="77"/>
      <c r="R167" s="77"/>
      <c r="S167" s="56">
        <v>448</v>
      </c>
      <c r="T167" s="63">
        <v>43920</v>
      </c>
      <c r="U167" s="64" t="s">
        <v>46</v>
      </c>
      <c r="V167" s="63" t="str">
        <f t="shared" si="13"/>
        <v/>
      </c>
      <c r="W167" s="64" t="str">
        <f t="shared" ca="1" si="11"/>
        <v/>
      </c>
      <c r="X167" s="65"/>
      <c r="Y167" s="65"/>
      <c r="Z167" s="67" t="s">
        <v>48</v>
      </c>
      <c r="AA167" s="67" t="s">
        <v>48</v>
      </c>
      <c r="AB167" s="67"/>
      <c r="AC167" s="67"/>
      <c r="AD167" s="67" t="s">
        <v>48</v>
      </c>
      <c r="AE167" s="67"/>
      <c r="AF167" s="66" t="s">
        <v>48</v>
      </c>
      <c r="AG167" s="66" t="s">
        <v>48</v>
      </c>
      <c r="AH167" s="69"/>
      <c r="AI167" s="69"/>
      <c r="AJ167" s="69"/>
      <c r="AK167" s="69"/>
      <c r="AL167" s="69"/>
      <c r="AM167" s="69"/>
      <c r="AN167" s="69"/>
      <c r="AO167" s="69"/>
      <c r="AP167" s="66" t="s">
        <v>48</v>
      </c>
      <c r="AQ167" s="64" t="str">
        <f ca="1">IF(ALL_02FEB2024[[#This Row],[Days to Contract End]]&lt;=90,"R",IF(AND(ALL_02FEB2024[[#This Row],[Days to Contract End]]&lt;180),"A","G"))</f>
        <v>G</v>
      </c>
      <c r="AR167" s="70" t="s">
        <v>520</v>
      </c>
    </row>
    <row r="168" spans="2:47">
      <c r="B168" s="147" t="s">
        <v>203</v>
      </c>
      <c r="C168" s="71">
        <f>IFERROR(VLOOKUP(B168,'QB Consolidated Contacts'!$A$1:$F$333,6),"-")</f>
        <v>0</v>
      </c>
      <c r="D168" s="208"/>
      <c r="E168" s="62" t="s">
        <v>66</v>
      </c>
      <c r="F168" s="62" t="s">
        <v>44</v>
      </c>
      <c r="G168" s="62"/>
      <c r="H168" s="143" t="s">
        <v>78</v>
      </c>
      <c r="I168" s="54" t="s">
        <v>39</v>
      </c>
      <c r="J168" s="54"/>
      <c r="K168" s="54"/>
      <c r="L168" s="31" t="s">
        <v>42</v>
      </c>
      <c r="M168" s="31"/>
      <c r="N168" s="31"/>
      <c r="O168" s="55"/>
      <c r="P168" s="55"/>
      <c r="Q168" s="77"/>
      <c r="R168" s="77"/>
      <c r="S168" s="56"/>
      <c r="T168" s="63">
        <v>44966</v>
      </c>
      <c r="U168" s="64"/>
      <c r="V168" s="63">
        <f t="shared" si="13"/>
        <v>44966</v>
      </c>
      <c r="W168" s="64">
        <f t="shared" ca="1" si="11"/>
        <v>-1127</v>
      </c>
      <c r="X168" s="65"/>
      <c r="Y168" s="65"/>
      <c r="Z168" s="67"/>
      <c r="AA168" s="67"/>
      <c r="AB168" s="67"/>
      <c r="AC168" s="67"/>
      <c r="AD168" s="67"/>
      <c r="AE168" s="67"/>
      <c r="AF168" s="66"/>
      <c r="AG168" s="66"/>
      <c r="AH168" s="69"/>
      <c r="AI168" s="69"/>
      <c r="AJ168" s="69"/>
      <c r="AK168" s="69"/>
      <c r="AL168" s="69"/>
      <c r="AM168" s="69"/>
      <c r="AN168" s="69"/>
      <c r="AO168" s="69"/>
      <c r="AP168" s="66"/>
      <c r="AQ168" s="64" t="str">
        <f ca="1">IF(ALL_02FEB2024[[#This Row],[Days to Contract End]]&lt;=90,"R",IF(AND(ALL_02FEB2024[[#This Row],[Days to Contract End]]&lt;180),"A","G"))</f>
        <v>R</v>
      </c>
      <c r="AR168" s="70"/>
    </row>
    <row r="169" spans="2:47" ht="30">
      <c r="B169" s="147" t="s">
        <v>203</v>
      </c>
      <c r="C169" s="71">
        <f>IFERROR(VLOOKUP(B169,'QB Consolidated Contacts'!$A$1:$F$333,6),"-")</f>
        <v>0</v>
      </c>
      <c r="D169" s="208"/>
      <c r="E169" s="62" t="s">
        <v>158</v>
      </c>
      <c r="F169" s="62" t="s">
        <v>175</v>
      </c>
      <c r="G169" s="62" t="s">
        <v>630</v>
      </c>
      <c r="H169" s="144" t="s">
        <v>524</v>
      </c>
      <c r="I169" s="54"/>
      <c r="J169" s="54"/>
      <c r="K169" s="54"/>
      <c r="L169" s="31"/>
      <c r="M169" s="31"/>
      <c r="N169" s="31" t="s">
        <v>526</v>
      </c>
      <c r="O169" s="55"/>
      <c r="P169" s="55"/>
      <c r="Q169" s="77"/>
      <c r="R169" s="77"/>
      <c r="S169" s="56"/>
      <c r="T169" s="63"/>
      <c r="U169" s="64"/>
      <c r="V169" s="63">
        <f>IFERROR(EDATE(T169,U169),"")</f>
        <v>0</v>
      </c>
      <c r="W169" s="64">
        <f ca="1">IFERROR(V169-TODAY(),"")</f>
        <v>-46093</v>
      </c>
      <c r="X169" s="65"/>
      <c r="Y169" s="65"/>
      <c r="Z169" s="67"/>
      <c r="AA169" s="67"/>
      <c r="AB169" s="67"/>
      <c r="AC169" s="67"/>
      <c r="AD169" s="67"/>
      <c r="AE169" s="67"/>
      <c r="AF169" s="66"/>
      <c r="AG169" s="66"/>
      <c r="AH169" s="69"/>
      <c r="AI169" s="69"/>
      <c r="AJ169" s="69"/>
      <c r="AK169" s="69"/>
      <c r="AL169" s="69"/>
      <c r="AM169" s="69"/>
      <c r="AN169" s="69"/>
      <c r="AO169" s="69"/>
      <c r="AP169" s="66"/>
      <c r="AQ169" s="64" t="str">
        <f ca="1">IF(ALL_02FEB2024[[#This Row],[Days to Contract End]]&lt;=90,"R",IF(AND(ALL_02FEB2024[[#This Row],[Days to Contract End]]&lt;180),"A","G"))</f>
        <v>R</v>
      </c>
      <c r="AR169" s="70"/>
    </row>
    <row r="170" spans="2:47" ht="30">
      <c r="B170" s="147" t="s">
        <v>203</v>
      </c>
      <c r="C170" s="71">
        <f>IFERROR(VLOOKUP(B170,'QB Consolidated Contacts'!$A$1:$F$333,6),"-")</f>
        <v>0</v>
      </c>
      <c r="D170" s="208" t="s">
        <v>132</v>
      </c>
      <c r="E170" s="62" t="s">
        <v>158</v>
      </c>
      <c r="F170" s="62" t="s">
        <v>175</v>
      </c>
      <c r="G170" s="62" t="s">
        <v>630</v>
      </c>
      <c r="H170" s="142" t="s">
        <v>529</v>
      </c>
      <c r="I170" s="54" t="s">
        <v>39</v>
      </c>
      <c r="J170" s="54" t="s">
        <v>39</v>
      </c>
      <c r="K170" s="54" t="s">
        <v>315</v>
      </c>
      <c r="L170" s="31" t="s">
        <v>42</v>
      </c>
      <c r="M170" s="31"/>
      <c r="N170" s="31"/>
      <c r="O170" s="55"/>
      <c r="P170" s="55" t="s">
        <v>527</v>
      </c>
      <c r="Q170" s="77"/>
      <c r="R170" s="77"/>
      <c r="S170" s="56"/>
      <c r="T170" s="63">
        <v>45078</v>
      </c>
      <c r="U170" s="64" t="s">
        <v>46</v>
      </c>
      <c r="V170" s="63" t="str">
        <f t="shared" si="13"/>
        <v/>
      </c>
      <c r="W170" s="64" t="str">
        <f t="shared" ca="1" si="11"/>
        <v/>
      </c>
      <c r="X170" s="65"/>
      <c r="Y170" s="65"/>
      <c r="Z170" s="67"/>
      <c r="AA170" s="67"/>
      <c r="AB170" s="67"/>
      <c r="AC170" s="67"/>
      <c r="AD170" s="67"/>
      <c r="AE170" s="67"/>
      <c r="AF170" s="66"/>
      <c r="AG170" s="66"/>
      <c r="AH170" s="69"/>
      <c r="AI170" s="69"/>
      <c r="AJ170" s="69"/>
      <c r="AK170" s="69"/>
      <c r="AL170" s="69"/>
      <c r="AM170" s="69"/>
      <c r="AN170" s="69"/>
      <c r="AO170" s="69"/>
      <c r="AP170" s="66"/>
      <c r="AQ170" s="64" t="str">
        <f ca="1">IF(ALL_02FEB2024[[#This Row],[Days to Contract End]]&lt;=90,"R",IF(AND(ALL_02FEB2024[[#This Row],[Days to Contract End]]&lt;180),"A","G"))</f>
        <v>G</v>
      </c>
      <c r="AR170" s="70"/>
    </row>
    <row r="171" spans="2:47">
      <c r="B171" s="147" t="s">
        <v>204</v>
      </c>
      <c r="C171" s="71">
        <f>IFERROR(VLOOKUP(B171,'QB Consolidated Contacts'!$A$1:$F$333,6),"-")</f>
        <v>0</v>
      </c>
      <c r="D171" s="208"/>
      <c r="E171" s="62" t="s">
        <v>43</v>
      </c>
      <c r="F171" s="62" t="s">
        <v>44</v>
      </c>
      <c r="G171" s="62"/>
      <c r="H171" s="143" t="s">
        <v>45</v>
      </c>
      <c r="I171" s="54" t="s">
        <v>39</v>
      </c>
      <c r="J171" s="54"/>
      <c r="K171" s="54" t="s">
        <v>315</v>
      </c>
      <c r="L171" s="31" t="s">
        <v>51</v>
      </c>
      <c r="M171" s="31"/>
      <c r="N171" s="31"/>
      <c r="O171" s="55" t="s">
        <v>48</v>
      </c>
      <c r="P171" s="55"/>
      <c r="Q171" s="77"/>
      <c r="R171" s="77"/>
      <c r="S171" s="56" t="s">
        <v>144</v>
      </c>
      <c r="T171" s="63">
        <v>44866</v>
      </c>
      <c r="U171" s="64" t="s">
        <v>46</v>
      </c>
      <c r="V171" s="63" t="str">
        <f t="shared" si="13"/>
        <v/>
      </c>
      <c r="W171" s="64" t="str">
        <f t="shared" ca="1" si="11"/>
        <v/>
      </c>
      <c r="X171" s="65" t="s">
        <v>39</v>
      </c>
      <c r="Y171" s="65"/>
      <c r="Z171" s="67"/>
      <c r="AA171" s="67"/>
      <c r="AB171" s="67"/>
      <c r="AC171" s="67"/>
      <c r="AD171" s="67"/>
      <c r="AE171" s="67"/>
      <c r="AF171" s="66"/>
      <c r="AG171" s="66"/>
      <c r="AH171" s="69"/>
      <c r="AI171" s="69"/>
      <c r="AJ171" s="69"/>
      <c r="AK171" s="69"/>
      <c r="AL171" s="69"/>
      <c r="AM171" s="69"/>
      <c r="AN171" s="69"/>
      <c r="AO171" s="69"/>
      <c r="AP171" s="66"/>
      <c r="AQ171" s="64" t="str">
        <f ca="1">IF(ALL_02FEB2024[[#This Row],[Days to Contract End]]&lt;=90,"R",IF(AND(ALL_02FEB2024[[#This Row],[Days to Contract End]]&lt;180),"A","G"))</f>
        <v>G</v>
      </c>
      <c r="AR171" s="70"/>
    </row>
    <row r="172" spans="2:47">
      <c r="B172" s="147" t="s">
        <v>204</v>
      </c>
      <c r="C172" s="71">
        <f>IFERROR(VLOOKUP(B172,'QB Consolidated Contacts'!$A$1:$F$333,6),"-")</f>
        <v>0</v>
      </c>
      <c r="D172" s="208"/>
      <c r="E172" s="62" t="s">
        <v>66</v>
      </c>
      <c r="F172" s="62" t="s">
        <v>44</v>
      </c>
      <c r="G172" s="62"/>
      <c r="H172" s="143" t="s">
        <v>78</v>
      </c>
      <c r="I172" s="54" t="s">
        <v>39</v>
      </c>
      <c r="J172" s="54"/>
      <c r="K172" s="54"/>
      <c r="L172" s="31" t="s">
        <v>51</v>
      </c>
      <c r="M172" s="31"/>
      <c r="N172" s="31"/>
      <c r="O172" s="55" t="s">
        <v>48</v>
      </c>
      <c r="P172" s="55"/>
      <c r="Q172" s="77"/>
      <c r="R172" s="77"/>
      <c r="S172" s="56" t="s">
        <v>144</v>
      </c>
      <c r="T172" s="63">
        <v>44867</v>
      </c>
      <c r="U172" s="64">
        <v>24</v>
      </c>
      <c r="V172" s="63">
        <f t="shared" si="13"/>
        <v>45598</v>
      </c>
      <c r="W172" s="64">
        <f t="shared" ca="1" si="11"/>
        <v>-495</v>
      </c>
      <c r="X172" s="65"/>
      <c r="Y172" s="65"/>
      <c r="Z172" s="67"/>
      <c r="AA172" s="67"/>
      <c r="AB172" s="67"/>
      <c r="AC172" s="67"/>
      <c r="AD172" s="67"/>
      <c r="AE172" s="67"/>
      <c r="AF172" s="66"/>
      <c r="AG172" s="66"/>
      <c r="AH172" s="69"/>
      <c r="AI172" s="69"/>
      <c r="AJ172" s="69"/>
      <c r="AK172" s="69"/>
      <c r="AL172" s="69"/>
      <c r="AM172" s="69"/>
      <c r="AN172" s="69"/>
      <c r="AO172" s="69"/>
      <c r="AP172" s="66"/>
      <c r="AQ172" s="64" t="str">
        <f ca="1">IF(ALL_02FEB2024[[#This Row],[Days to Contract End]]&lt;=90,"R",IF(AND(ALL_02FEB2024[[#This Row],[Days to Contract End]]&lt;180),"A","G"))</f>
        <v>R</v>
      </c>
      <c r="AR172" s="70"/>
    </row>
    <row r="173" spans="2:47" ht="30">
      <c r="B173" s="147" t="s">
        <v>204</v>
      </c>
      <c r="C173" s="71">
        <f>IFERROR(VLOOKUP(B173,'QB Consolidated Contacts'!$A$1:$F$333,6),"-")</f>
        <v>0</v>
      </c>
      <c r="D173" s="208" t="s">
        <v>132</v>
      </c>
      <c r="E173" s="62" t="s">
        <v>158</v>
      </c>
      <c r="F173" s="62" t="s">
        <v>288</v>
      </c>
      <c r="G173" s="62"/>
      <c r="H173" s="143" t="s">
        <v>288</v>
      </c>
      <c r="I173" s="54" t="s">
        <v>39</v>
      </c>
      <c r="J173" s="54"/>
      <c r="K173" s="54" t="s">
        <v>315</v>
      </c>
      <c r="L173" s="31" t="s">
        <v>51</v>
      </c>
      <c r="M173" s="31"/>
      <c r="N173" s="31"/>
      <c r="O173" s="55" t="s">
        <v>290</v>
      </c>
      <c r="P173" s="55"/>
      <c r="Q173" s="77"/>
      <c r="R173" s="77"/>
      <c r="S173" s="56" t="s">
        <v>505</v>
      </c>
      <c r="T173" s="63">
        <v>44866</v>
      </c>
      <c r="U173" s="64" t="s">
        <v>46</v>
      </c>
      <c r="V173" s="63" t="str">
        <f t="shared" si="13"/>
        <v/>
      </c>
      <c r="W173" s="64" t="str">
        <f t="shared" ca="1" si="11"/>
        <v/>
      </c>
      <c r="X173" s="65"/>
      <c r="Y173" s="65"/>
      <c r="Z173" s="67"/>
      <c r="AA173" s="67"/>
      <c r="AB173" s="67"/>
      <c r="AC173" s="67"/>
      <c r="AD173" s="67"/>
      <c r="AE173" s="67"/>
      <c r="AF173" s="66"/>
      <c r="AG173" s="66"/>
      <c r="AH173" s="69"/>
      <c r="AI173" s="69"/>
      <c r="AJ173" s="69"/>
      <c r="AK173" s="69"/>
      <c r="AL173" s="69"/>
      <c r="AM173" s="69"/>
      <c r="AN173" s="69"/>
      <c r="AO173" s="69"/>
      <c r="AP173" s="66"/>
      <c r="AQ173" s="64" t="str">
        <f ca="1">IF(ALL_02FEB2024[[#This Row],[Days to Contract End]]&lt;=90,"R",IF(AND(ALL_02FEB2024[[#This Row],[Days to Contract End]]&lt;180),"A","G"))</f>
        <v>G</v>
      </c>
      <c r="AR173" s="70"/>
    </row>
    <row r="174" spans="2:47" ht="30">
      <c r="B174" s="147" t="s">
        <v>534</v>
      </c>
      <c r="C174" s="71">
        <f>IFERROR(VLOOKUP(B174,'QB Consolidated Contacts'!$A$1:$F$333,6),"-")</f>
        <v>0</v>
      </c>
      <c r="D174" s="208" t="s">
        <v>132</v>
      </c>
      <c r="E174" s="62" t="s">
        <v>158</v>
      </c>
      <c r="F174" s="62" t="s">
        <v>288</v>
      </c>
      <c r="G174" s="62"/>
      <c r="H174" s="143" t="s">
        <v>316</v>
      </c>
      <c r="I174" s="54" t="s">
        <v>40</v>
      </c>
      <c r="J174" s="54"/>
      <c r="K174" s="54" t="s">
        <v>108</v>
      </c>
      <c r="L174" s="31" t="s">
        <v>42</v>
      </c>
      <c r="M174" s="31"/>
      <c r="N174" s="31"/>
      <c r="O174" s="55" t="s">
        <v>290</v>
      </c>
      <c r="P174" s="55"/>
      <c r="Q174" s="77"/>
      <c r="R174" s="77"/>
      <c r="S174" s="56"/>
      <c r="T174" s="63">
        <v>42850</v>
      </c>
      <c r="U174" s="64" t="s">
        <v>46</v>
      </c>
      <c r="V174" s="63" t="str">
        <f t="shared" si="13"/>
        <v/>
      </c>
      <c r="W174" s="64" t="str">
        <f t="shared" ca="1" si="11"/>
        <v/>
      </c>
      <c r="X174" s="65"/>
      <c r="Y174" s="65"/>
      <c r="Z174" s="67" t="s">
        <v>48</v>
      </c>
      <c r="AA174" s="67" t="s">
        <v>48</v>
      </c>
      <c r="AB174" s="67"/>
      <c r="AC174" s="67"/>
      <c r="AD174" s="67" t="s">
        <v>48</v>
      </c>
      <c r="AE174" s="67"/>
      <c r="AF174" s="66" t="s">
        <v>48</v>
      </c>
      <c r="AG174" s="66" t="s">
        <v>48</v>
      </c>
      <c r="AH174" s="69"/>
      <c r="AI174" s="69"/>
      <c r="AJ174" s="69"/>
      <c r="AK174" s="69"/>
      <c r="AL174" s="69"/>
      <c r="AM174" s="69"/>
      <c r="AN174" s="69"/>
      <c r="AO174" s="69"/>
      <c r="AP174" s="66" t="s">
        <v>48</v>
      </c>
      <c r="AQ174" s="64" t="str">
        <f ca="1">IF(ALL_02FEB2024[[#This Row],[Days to Contract End]]&lt;=90,"R",IF(AND(ALL_02FEB2024[[#This Row],[Days to Contract End]]&lt;180),"A","G"))</f>
        <v>G</v>
      </c>
      <c r="AR174" s="70"/>
    </row>
    <row r="175" spans="2:47">
      <c r="B175" s="147" t="s">
        <v>210</v>
      </c>
      <c r="C175" s="71">
        <f>IFERROR(VLOOKUP(B175,'QB Consolidated Contacts'!$A$1:$F$333,6),"-")</f>
        <v>0</v>
      </c>
      <c r="D175" s="208"/>
      <c r="E175" s="62" t="s">
        <v>66</v>
      </c>
      <c r="F175" s="62" t="s">
        <v>44</v>
      </c>
      <c r="G175" s="62"/>
      <c r="H175" s="143" t="s">
        <v>78</v>
      </c>
      <c r="I175" s="54" t="s">
        <v>39</v>
      </c>
      <c r="J175" s="54"/>
      <c r="K175" s="54" t="s">
        <v>315</v>
      </c>
      <c r="L175" s="31" t="s">
        <v>42</v>
      </c>
      <c r="M175" s="31"/>
      <c r="N175" s="31"/>
      <c r="O175" s="55"/>
      <c r="P175" s="55"/>
      <c r="Q175" s="77"/>
      <c r="R175" s="77"/>
      <c r="S175" s="56"/>
      <c r="T175" s="63">
        <v>43613</v>
      </c>
      <c r="U175" s="64" t="s">
        <v>46</v>
      </c>
      <c r="V175" s="63" t="str">
        <f t="shared" si="13"/>
        <v/>
      </c>
      <c r="W175" s="64" t="str">
        <f t="shared" ca="1" si="11"/>
        <v/>
      </c>
      <c r="X175" s="65"/>
      <c r="Y175" s="65"/>
      <c r="Z175" s="67"/>
      <c r="AA175" s="67"/>
      <c r="AB175" s="67"/>
      <c r="AC175" s="67"/>
      <c r="AD175" s="67"/>
      <c r="AE175" s="67"/>
      <c r="AF175" s="66"/>
      <c r="AG175" s="66"/>
      <c r="AH175" s="69"/>
      <c r="AI175" s="69"/>
      <c r="AJ175" s="69"/>
      <c r="AK175" s="69"/>
      <c r="AL175" s="69"/>
      <c r="AM175" s="69"/>
      <c r="AN175" s="69"/>
      <c r="AO175" s="69"/>
      <c r="AP175" s="66"/>
      <c r="AQ175" s="64" t="str">
        <f ca="1">IF(ALL_02FEB2024[[#This Row],[Days to Contract End]]&lt;=90,"R",IF(AND(ALL_02FEB2024[[#This Row],[Days to Contract End]]&lt;180),"A","G"))</f>
        <v>G</v>
      </c>
      <c r="AR175" s="70"/>
    </row>
    <row r="176" spans="2:47">
      <c r="B176" s="147" t="s">
        <v>210</v>
      </c>
      <c r="C176" s="71">
        <f>IFERROR(VLOOKUP(B176,'QB Consolidated Contacts'!$A$1:$F$333,6),"-")</f>
        <v>0</v>
      </c>
      <c r="D176" s="208"/>
      <c r="E176" s="62" t="s">
        <v>43</v>
      </c>
      <c r="F176" s="62" t="s">
        <v>44</v>
      </c>
      <c r="G176" s="62"/>
      <c r="H176" s="143" t="s">
        <v>45</v>
      </c>
      <c r="I176" s="54" t="s">
        <v>40</v>
      </c>
      <c r="J176" s="54"/>
      <c r="K176" s="54" t="s">
        <v>315</v>
      </c>
      <c r="L176" s="31" t="s">
        <v>42</v>
      </c>
      <c r="M176" s="31"/>
      <c r="N176" s="31"/>
      <c r="O176" s="55"/>
      <c r="P176" s="55"/>
      <c r="Q176" s="77"/>
      <c r="R176" s="77"/>
      <c r="S176" s="56"/>
      <c r="T176" s="63"/>
      <c r="U176" s="64"/>
      <c r="V176" s="63">
        <f t="shared" si="13"/>
        <v>0</v>
      </c>
      <c r="W176" s="64">
        <f t="shared" ref="W176:W210" ca="1" si="14">IFERROR(V176-TODAY(),"")</f>
        <v>-46093</v>
      </c>
      <c r="X176" s="65"/>
      <c r="Y176" s="65"/>
      <c r="Z176" s="67"/>
      <c r="AA176" s="67"/>
      <c r="AB176" s="67"/>
      <c r="AC176" s="67"/>
      <c r="AD176" s="67"/>
      <c r="AE176" s="67"/>
      <c r="AF176" s="66"/>
      <c r="AG176" s="66"/>
      <c r="AH176" s="69"/>
      <c r="AI176" s="69"/>
      <c r="AJ176" s="69"/>
      <c r="AK176" s="69"/>
      <c r="AL176" s="69"/>
      <c r="AM176" s="69"/>
      <c r="AN176" s="69"/>
      <c r="AO176" s="69"/>
      <c r="AP176" s="66"/>
      <c r="AQ176" s="64" t="str">
        <f ca="1">IF(ALL_02FEB2024[[#This Row],[Days to Contract End]]&lt;=90,"R",IF(AND(ALL_02FEB2024[[#This Row],[Days to Contract End]]&lt;180),"A","G"))</f>
        <v>R</v>
      </c>
      <c r="AR176" s="70"/>
    </row>
    <row r="177" spans="2:44" ht="30">
      <c r="B177" s="147" t="s">
        <v>210</v>
      </c>
      <c r="C177" s="71">
        <f>IFERROR(VLOOKUP(B177,'QB Consolidated Contacts'!$A$1:$F$333,6),"-")</f>
        <v>0</v>
      </c>
      <c r="D177" s="208" t="s">
        <v>132</v>
      </c>
      <c r="E177" s="62" t="s">
        <v>158</v>
      </c>
      <c r="F177" s="62" t="s">
        <v>288</v>
      </c>
      <c r="G177" s="62" t="s">
        <v>633</v>
      </c>
      <c r="H177" s="142" t="s">
        <v>535</v>
      </c>
      <c r="I177" s="54" t="s">
        <v>39</v>
      </c>
      <c r="J177" s="54"/>
      <c r="K177" s="54" t="s">
        <v>315</v>
      </c>
      <c r="L177" s="31" t="s">
        <v>42</v>
      </c>
      <c r="M177" s="31" t="s">
        <v>39</v>
      </c>
      <c r="N177" s="114" t="s">
        <v>536</v>
      </c>
      <c r="O177" s="55" t="s">
        <v>290</v>
      </c>
      <c r="P177" s="55"/>
      <c r="Q177" s="77">
        <v>1300</v>
      </c>
      <c r="R177" s="77"/>
      <c r="S177" s="56">
        <v>10</v>
      </c>
      <c r="T177" s="63">
        <v>44713</v>
      </c>
      <c r="U177" s="64" t="s">
        <v>46</v>
      </c>
      <c r="V177" s="63" t="str">
        <f t="shared" si="13"/>
        <v/>
      </c>
      <c r="W177" s="64" t="str">
        <f t="shared" ca="1" si="14"/>
        <v/>
      </c>
      <c r="X177" s="65"/>
      <c r="Y177" s="65"/>
      <c r="Z177" s="67" t="s">
        <v>48</v>
      </c>
      <c r="AA177" s="67" t="s">
        <v>48</v>
      </c>
      <c r="AB177" s="67"/>
      <c r="AC177" s="67"/>
      <c r="AD177" s="67" t="s">
        <v>48</v>
      </c>
      <c r="AE177" s="67"/>
      <c r="AF177" s="66" t="s">
        <v>48</v>
      </c>
      <c r="AG177" s="66" t="s">
        <v>48</v>
      </c>
      <c r="AH177" s="69"/>
      <c r="AI177" s="69"/>
      <c r="AJ177" s="69"/>
      <c r="AK177" s="69"/>
      <c r="AL177" s="69"/>
      <c r="AM177" s="69"/>
      <c r="AN177" s="69"/>
      <c r="AO177" s="69"/>
      <c r="AP177" s="66" t="s">
        <v>48</v>
      </c>
      <c r="AQ177" s="64" t="str">
        <f ca="1">IF(ALL_02FEB2024[[#This Row],[Days to Contract End]]&lt;=90,"R",IF(AND(ALL_02FEB2024[[#This Row],[Days to Contract End]]&lt;180),"A","G"))</f>
        <v>G</v>
      </c>
      <c r="AR177" s="70" t="s">
        <v>537</v>
      </c>
    </row>
    <row r="178" spans="2:44">
      <c r="B178" s="147" t="s">
        <v>216</v>
      </c>
      <c r="C178" s="71">
        <f>IFERROR(VLOOKUP(B178,'QB Consolidated Contacts'!$A$1:$F$333,6),"-")</f>
        <v>0</v>
      </c>
      <c r="D178" s="208" t="s">
        <v>132</v>
      </c>
      <c r="E178" s="62" t="s">
        <v>66</v>
      </c>
      <c r="F178" s="62" t="s">
        <v>44</v>
      </c>
      <c r="G178" s="62"/>
      <c r="H178" s="144" t="s">
        <v>217</v>
      </c>
      <c r="I178" s="54" t="s">
        <v>39</v>
      </c>
      <c r="J178" s="54" t="s">
        <v>39</v>
      </c>
      <c r="K178" s="54" t="s">
        <v>315</v>
      </c>
      <c r="L178" s="31" t="s">
        <v>51</v>
      </c>
      <c r="M178" s="31"/>
      <c r="N178" s="31"/>
      <c r="O178" s="55"/>
      <c r="P178" s="55"/>
      <c r="Q178" s="77"/>
      <c r="R178" s="77"/>
      <c r="S178" s="56" t="s">
        <v>389</v>
      </c>
      <c r="T178" s="63">
        <v>45080</v>
      </c>
      <c r="U178" s="64" t="s">
        <v>46</v>
      </c>
      <c r="V178" s="63" t="str">
        <f>IFERROR(EDATE(T178,U178),"")</f>
        <v/>
      </c>
      <c r="W178" s="64" t="str">
        <f ca="1">IFERROR(V178-TODAY(),"")</f>
        <v/>
      </c>
      <c r="X178" s="65"/>
      <c r="Y178" s="65"/>
      <c r="Z178" s="67"/>
      <c r="AA178" s="67"/>
      <c r="AB178" s="67"/>
      <c r="AC178" s="67"/>
      <c r="AD178" s="67"/>
      <c r="AE178" s="67"/>
      <c r="AF178" s="66"/>
      <c r="AG178" s="66"/>
      <c r="AH178" s="69"/>
      <c r="AI178" s="69"/>
      <c r="AJ178" s="69"/>
      <c r="AK178" s="69"/>
      <c r="AL178" s="69"/>
      <c r="AM178" s="69"/>
      <c r="AN178" s="69"/>
      <c r="AO178" s="69"/>
      <c r="AP178" s="66"/>
      <c r="AQ178" s="64" t="str">
        <f ca="1">IF(ALL_02FEB2024[[#This Row],[Days to Contract End]]&lt;=90,"R",IF(AND(ALL_02FEB2024[[#This Row],[Days to Contract End]]&lt;180),"A","G"))</f>
        <v>G</v>
      </c>
      <c r="AR178" s="70"/>
    </row>
    <row r="179" spans="2:44" ht="30">
      <c r="B179" s="147" t="s">
        <v>221</v>
      </c>
      <c r="C179" s="71">
        <f>IFERROR(VLOOKUP(B179,'QB Consolidated Contacts'!$A$1:$F$333,6),"-")</f>
        <v>0</v>
      </c>
      <c r="D179" s="208"/>
      <c r="E179" s="62" t="s">
        <v>66</v>
      </c>
      <c r="F179" s="62" t="s">
        <v>44</v>
      </c>
      <c r="G179" s="62"/>
      <c r="H179" s="142" t="s">
        <v>78</v>
      </c>
      <c r="I179" s="54" t="s">
        <v>39</v>
      </c>
      <c r="J179" s="54"/>
      <c r="K179" s="54" t="s">
        <v>315</v>
      </c>
      <c r="L179" s="31" t="s">
        <v>42</v>
      </c>
      <c r="M179" s="31"/>
      <c r="N179" s="31"/>
      <c r="O179" s="55"/>
      <c r="P179" s="55"/>
      <c r="Q179" s="77"/>
      <c r="R179" s="77"/>
      <c r="S179" s="56"/>
      <c r="T179" s="63">
        <v>45002</v>
      </c>
      <c r="U179" s="64">
        <v>24</v>
      </c>
      <c r="V179" s="63">
        <f t="shared" si="13"/>
        <v>45733</v>
      </c>
      <c r="W179" s="64">
        <f t="shared" ca="1" si="14"/>
        <v>-360</v>
      </c>
      <c r="X179" s="65"/>
      <c r="Y179" s="65"/>
      <c r="Z179" s="67"/>
      <c r="AA179" s="67"/>
      <c r="AB179" s="67"/>
      <c r="AC179" s="67"/>
      <c r="AD179" s="67"/>
      <c r="AE179" s="67"/>
      <c r="AF179" s="66"/>
      <c r="AG179" s="66"/>
      <c r="AH179" s="69"/>
      <c r="AI179" s="69"/>
      <c r="AJ179" s="69"/>
      <c r="AK179" s="69"/>
      <c r="AL179" s="69"/>
      <c r="AM179" s="69"/>
      <c r="AN179" s="69"/>
      <c r="AO179" s="69"/>
      <c r="AP179" s="66"/>
      <c r="AQ179" s="64" t="str">
        <f ca="1">IF(ALL_02FEB2024[[#This Row],[Days to Contract End]]&lt;=90,"R",IF(AND(ALL_02FEB2024[[#This Row],[Days to Contract End]]&lt;180),"A","G"))</f>
        <v>R</v>
      </c>
      <c r="AR179" s="70"/>
    </row>
    <row r="180" spans="2:44">
      <c r="B180" s="147" t="s">
        <v>222</v>
      </c>
      <c r="C180" s="71">
        <f>IFERROR(VLOOKUP(B180,'QB Consolidated Contacts'!$A$1:$F$333,6),"-")</f>
        <v>0</v>
      </c>
      <c r="D180" s="208"/>
      <c r="E180" s="62" t="s">
        <v>43</v>
      </c>
      <c r="F180" s="62" t="s">
        <v>44</v>
      </c>
      <c r="G180" s="62"/>
      <c r="H180" s="143" t="s">
        <v>45</v>
      </c>
      <c r="I180" s="54" t="s">
        <v>40</v>
      </c>
      <c r="J180" s="54"/>
      <c r="K180" s="54" t="s">
        <v>315</v>
      </c>
      <c r="L180" s="31" t="s">
        <v>42</v>
      </c>
      <c r="M180" s="31"/>
      <c r="N180" s="31"/>
      <c r="O180" s="55"/>
      <c r="P180" s="55"/>
      <c r="Q180" s="77"/>
      <c r="R180" s="77"/>
      <c r="S180" s="56"/>
      <c r="T180" s="63"/>
      <c r="U180" s="64"/>
      <c r="V180" s="63">
        <f t="shared" si="13"/>
        <v>0</v>
      </c>
      <c r="W180" s="64">
        <f t="shared" ca="1" si="14"/>
        <v>-46093</v>
      </c>
      <c r="X180" s="65" t="s">
        <v>39</v>
      </c>
      <c r="Y180" s="65" t="s">
        <v>81</v>
      </c>
      <c r="Z180" s="67"/>
      <c r="AA180" s="67"/>
      <c r="AB180" s="67"/>
      <c r="AC180" s="67"/>
      <c r="AD180" s="67"/>
      <c r="AE180" s="67"/>
      <c r="AF180" s="66"/>
      <c r="AG180" s="66"/>
      <c r="AH180" s="69"/>
      <c r="AI180" s="69"/>
      <c r="AJ180" s="69"/>
      <c r="AK180" s="69"/>
      <c r="AL180" s="69"/>
      <c r="AM180" s="69"/>
      <c r="AN180" s="69"/>
      <c r="AO180" s="69"/>
      <c r="AP180" s="66"/>
      <c r="AQ180" s="64" t="str">
        <f ca="1">IF(ALL_02FEB2024[[#This Row],[Days to Contract End]]&lt;=90,"R",IF(AND(ALL_02FEB2024[[#This Row],[Days to Contract End]]&lt;180),"A","G"))</f>
        <v>R</v>
      </c>
      <c r="AR180" s="70"/>
    </row>
    <row r="181" spans="2:44">
      <c r="B181" s="147" t="s">
        <v>222</v>
      </c>
      <c r="C181" s="71">
        <f>IFERROR(VLOOKUP(B181,'QB Consolidated Contacts'!$A$1:$F$333,6),"-")</f>
        <v>0</v>
      </c>
      <c r="D181" s="208"/>
      <c r="E181" s="62" t="s">
        <v>66</v>
      </c>
      <c r="F181" s="62" t="s">
        <v>44</v>
      </c>
      <c r="G181" s="62"/>
      <c r="H181" s="143" t="s">
        <v>78</v>
      </c>
      <c r="I181" s="54" t="s">
        <v>40</v>
      </c>
      <c r="J181" s="54"/>
      <c r="K181" s="54"/>
      <c r="L181" s="31" t="s">
        <v>42</v>
      </c>
      <c r="M181" s="31"/>
      <c r="N181" s="31"/>
      <c r="O181" s="55"/>
      <c r="P181" s="55"/>
      <c r="Q181" s="77"/>
      <c r="R181" s="77"/>
      <c r="S181" s="56"/>
      <c r="T181" s="63"/>
      <c r="U181" s="64"/>
      <c r="V181" s="63">
        <f t="shared" si="13"/>
        <v>0</v>
      </c>
      <c r="W181" s="64">
        <f t="shared" ca="1" si="14"/>
        <v>-46093</v>
      </c>
      <c r="X181" s="65" t="s">
        <v>40</v>
      </c>
      <c r="Y181" s="65"/>
      <c r="Z181" s="67"/>
      <c r="AA181" s="67"/>
      <c r="AB181" s="67"/>
      <c r="AC181" s="67"/>
      <c r="AD181" s="67"/>
      <c r="AE181" s="67"/>
      <c r="AF181" s="66"/>
      <c r="AG181" s="66"/>
      <c r="AH181" s="69"/>
      <c r="AI181" s="69"/>
      <c r="AJ181" s="69"/>
      <c r="AK181" s="69"/>
      <c r="AL181" s="69"/>
      <c r="AM181" s="69"/>
      <c r="AN181" s="69"/>
      <c r="AO181" s="69"/>
      <c r="AP181" s="66"/>
      <c r="AQ181" s="64" t="str">
        <f ca="1">IF(ALL_02FEB2024[[#This Row],[Days to Contract End]]&lt;=90,"R",IF(AND(ALL_02FEB2024[[#This Row],[Days to Contract End]]&lt;180),"A","G"))</f>
        <v>R</v>
      </c>
      <c r="AR181" s="70"/>
    </row>
    <row r="182" spans="2:44" ht="30">
      <c r="B182" s="147" t="s">
        <v>210</v>
      </c>
      <c r="C182" s="71">
        <f>IFERROR(VLOOKUP(B182,'QB Consolidated Contacts'!$A$1:$F$333,6),"-")</f>
        <v>0</v>
      </c>
      <c r="D182" s="208"/>
      <c r="E182" s="62" t="s">
        <v>351</v>
      </c>
      <c r="F182" s="62" t="s">
        <v>449</v>
      </c>
      <c r="G182" s="62" t="s">
        <v>633</v>
      </c>
      <c r="H182" s="144" t="s">
        <v>538</v>
      </c>
      <c r="I182" s="54"/>
      <c r="J182" s="54"/>
      <c r="K182" s="54"/>
      <c r="L182" s="31"/>
      <c r="M182" s="31"/>
      <c r="N182" s="31"/>
      <c r="O182" s="55"/>
      <c r="P182" s="55"/>
      <c r="Q182" s="77"/>
      <c r="R182" s="77"/>
      <c r="S182" s="56"/>
      <c r="T182" s="63"/>
      <c r="U182" s="64"/>
      <c r="V182" s="63">
        <f>IFERROR(EDATE(T182,U182),"")</f>
        <v>0</v>
      </c>
      <c r="W182" s="64">
        <f ca="1">IFERROR(V182-TODAY(),"")</f>
        <v>-46093</v>
      </c>
      <c r="X182" s="65"/>
      <c r="Y182" s="65"/>
      <c r="Z182" s="67"/>
      <c r="AA182" s="67"/>
      <c r="AB182" s="67"/>
      <c r="AC182" s="67"/>
      <c r="AD182" s="67"/>
      <c r="AE182" s="67"/>
      <c r="AF182" s="66"/>
      <c r="AG182" s="66"/>
      <c r="AH182" s="69"/>
      <c r="AI182" s="69"/>
      <c r="AJ182" s="69"/>
      <c r="AK182" s="69"/>
      <c r="AL182" s="69"/>
      <c r="AM182" s="69"/>
      <c r="AN182" s="69"/>
      <c r="AO182" s="69"/>
      <c r="AP182" s="66"/>
      <c r="AQ182" s="64" t="str">
        <f ca="1">IF(ALL_02FEB2024[[#This Row],[Days to Contract End]]&lt;=90,"R",IF(AND(ALL_02FEB2024[[#This Row],[Days to Contract End]]&lt;180),"A","G"))</f>
        <v>R</v>
      </c>
      <c r="AR182" s="70"/>
    </row>
    <row r="183" spans="2:44" ht="45">
      <c r="B183" s="147" t="s">
        <v>218</v>
      </c>
      <c r="C183" s="71">
        <f>IFERROR(VLOOKUP(B183,'QB Consolidated Contacts'!$A$1:$F$333,6),"-")</f>
        <v>0</v>
      </c>
      <c r="D183" s="208"/>
      <c r="E183" s="62" t="s">
        <v>43</v>
      </c>
      <c r="F183" s="62" t="s">
        <v>44</v>
      </c>
      <c r="G183" s="62"/>
      <c r="H183" s="142" t="s">
        <v>219</v>
      </c>
      <c r="I183" s="54" t="s">
        <v>39</v>
      </c>
      <c r="J183" s="54" t="s">
        <v>39</v>
      </c>
      <c r="K183" s="54" t="s">
        <v>315</v>
      </c>
      <c r="L183" s="31" t="s">
        <v>42</v>
      </c>
      <c r="M183" s="31"/>
      <c r="N183" s="31"/>
      <c r="O183" s="55"/>
      <c r="P183" s="55"/>
      <c r="Q183" s="77"/>
      <c r="R183" s="77"/>
      <c r="S183" s="56"/>
      <c r="T183" s="63">
        <v>45261</v>
      </c>
      <c r="U183" s="64" t="s">
        <v>220</v>
      </c>
      <c r="V183" s="63" t="str">
        <f>IFERROR(EDATE(T183,U183),"")</f>
        <v/>
      </c>
      <c r="W183" s="64" t="str">
        <f ca="1">IFERROR(V183-TODAY(),"")</f>
        <v/>
      </c>
      <c r="X183" s="65"/>
      <c r="Y183" s="65"/>
      <c r="Z183" s="67"/>
      <c r="AA183" s="67"/>
      <c r="AB183" s="67"/>
      <c r="AC183" s="67"/>
      <c r="AD183" s="67"/>
      <c r="AE183" s="67"/>
      <c r="AF183" s="66"/>
      <c r="AG183" s="66"/>
      <c r="AH183" s="69"/>
      <c r="AI183" s="69"/>
      <c r="AJ183" s="69"/>
      <c r="AK183" s="69"/>
      <c r="AL183" s="69"/>
      <c r="AM183" s="69"/>
      <c r="AN183" s="69"/>
      <c r="AO183" s="69"/>
      <c r="AP183" s="66"/>
      <c r="AQ183" s="64" t="str">
        <f ca="1">IF(ALL_02FEB2024[[#This Row],[Days to Contract End]]&lt;=90,"R",IF(AND(ALL_02FEB2024[[#This Row],[Days to Contract End]]&lt;180),"A","G"))</f>
        <v>G</v>
      </c>
      <c r="AR183" s="70"/>
    </row>
    <row r="184" spans="2:44" ht="45">
      <c r="B184" s="147" t="s">
        <v>218</v>
      </c>
      <c r="C184" s="71">
        <f>IFERROR(VLOOKUP(B184,'QB Consolidated Contacts'!$A$1:$F$333,6),"-")</f>
        <v>0</v>
      </c>
      <c r="D184" s="208"/>
      <c r="E184" s="62" t="s">
        <v>158</v>
      </c>
      <c r="F184" s="62" t="s">
        <v>175</v>
      </c>
      <c r="G184" s="62" t="s">
        <v>633</v>
      </c>
      <c r="H184" s="142" t="s">
        <v>542</v>
      </c>
      <c r="I184" s="54" t="s">
        <v>39</v>
      </c>
      <c r="J184" s="54" t="s">
        <v>39</v>
      </c>
      <c r="K184" s="54" t="s">
        <v>315</v>
      </c>
      <c r="L184" s="31" t="s">
        <v>42</v>
      </c>
      <c r="M184" s="31"/>
      <c r="N184" s="31"/>
      <c r="O184" s="55"/>
      <c r="P184" s="55"/>
      <c r="Q184" s="77"/>
      <c r="R184" s="77"/>
      <c r="S184" s="56"/>
      <c r="T184" s="63">
        <v>45308</v>
      </c>
      <c r="U184" s="64">
        <v>11</v>
      </c>
      <c r="V184" s="63">
        <f>IFERROR(EDATE(T184,U184),"")+14</f>
        <v>45657</v>
      </c>
      <c r="W184" s="64">
        <f ca="1">IFERROR(V184-TODAY(),"")</f>
        <v>-436</v>
      </c>
      <c r="X184" s="65"/>
      <c r="Y184" s="65"/>
      <c r="Z184" s="67"/>
      <c r="AA184" s="67"/>
      <c r="AB184" s="67"/>
      <c r="AC184" s="67"/>
      <c r="AD184" s="67"/>
      <c r="AE184" s="67"/>
      <c r="AF184" s="66"/>
      <c r="AG184" s="66"/>
      <c r="AH184" s="69"/>
      <c r="AI184" s="69"/>
      <c r="AJ184" s="69"/>
      <c r="AK184" s="69"/>
      <c r="AL184" s="69"/>
      <c r="AM184" s="69"/>
      <c r="AN184" s="69"/>
      <c r="AO184" s="69"/>
      <c r="AP184" s="66"/>
      <c r="AQ184" s="64" t="str">
        <f ca="1">IF(ALL_02FEB2024[[#This Row],[Days to Contract End]]&lt;=90,"R",IF(AND(ALL_02FEB2024[[#This Row],[Days to Contract End]]&lt;180),"A","G"))</f>
        <v>R</v>
      </c>
      <c r="AR184" s="70"/>
    </row>
    <row r="185" spans="2:44" ht="45">
      <c r="B185" s="147" t="s">
        <v>218</v>
      </c>
      <c r="C185" s="71">
        <f>IFERROR(VLOOKUP(B185,'QB Consolidated Contacts'!$A$1:$F$333,6),"-")</f>
        <v>0</v>
      </c>
      <c r="D185" s="208"/>
      <c r="E185" s="62" t="s">
        <v>158</v>
      </c>
      <c r="F185" s="62" t="s">
        <v>175</v>
      </c>
      <c r="G185" s="62" t="s">
        <v>633</v>
      </c>
      <c r="H185" s="144" t="s">
        <v>539</v>
      </c>
      <c r="I185" s="54"/>
      <c r="J185" s="54"/>
      <c r="K185" s="54"/>
      <c r="L185" s="31"/>
      <c r="M185" s="31"/>
      <c r="N185" s="31"/>
      <c r="O185" s="55"/>
      <c r="P185" s="55"/>
      <c r="Q185" s="77"/>
      <c r="R185" s="77"/>
      <c r="S185" s="56"/>
      <c r="T185" s="63"/>
      <c r="U185" s="64"/>
      <c r="V185" s="63">
        <f>IFERROR(EDATE(T185,U185),"")</f>
        <v>0</v>
      </c>
      <c r="W185" s="64">
        <f ca="1">IFERROR(V185-TODAY(),"")</f>
        <v>-46093</v>
      </c>
      <c r="X185" s="65"/>
      <c r="Y185" s="65"/>
      <c r="Z185" s="67"/>
      <c r="AA185" s="67"/>
      <c r="AB185" s="67"/>
      <c r="AC185" s="67"/>
      <c r="AD185" s="67"/>
      <c r="AE185" s="67"/>
      <c r="AF185" s="66"/>
      <c r="AG185" s="66"/>
      <c r="AH185" s="69"/>
      <c r="AI185" s="69"/>
      <c r="AJ185" s="69"/>
      <c r="AK185" s="69"/>
      <c r="AL185" s="69"/>
      <c r="AM185" s="69"/>
      <c r="AN185" s="69"/>
      <c r="AO185" s="69"/>
      <c r="AP185" s="66"/>
      <c r="AQ185" s="64" t="str">
        <f ca="1">IF(ALL_02FEB2024[[#This Row],[Days to Contract End]]&lt;=90,"R",IF(AND(ALL_02FEB2024[[#This Row],[Days to Contract End]]&lt;180),"A","G"))</f>
        <v>R</v>
      </c>
      <c r="AR185" s="70"/>
    </row>
    <row r="186" spans="2:44" ht="30">
      <c r="B186" s="147" t="s">
        <v>222</v>
      </c>
      <c r="C186" s="71">
        <f>IFERROR(VLOOKUP(B186,'QB Consolidated Contacts'!$A$1:$F$333,6),"-")</f>
        <v>0</v>
      </c>
      <c r="D186" s="208" t="s">
        <v>174</v>
      </c>
      <c r="E186" s="62" t="s">
        <v>158</v>
      </c>
      <c r="F186" s="62" t="s">
        <v>288</v>
      </c>
      <c r="G186" s="62"/>
      <c r="H186" s="143" t="s">
        <v>543</v>
      </c>
      <c r="I186" s="54" t="s">
        <v>40</v>
      </c>
      <c r="J186" s="54"/>
      <c r="K186" s="54" t="s">
        <v>108</v>
      </c>
      <c r="L186" s="31" t="s">
        <v>42</v>
      </c>
      <c r="M186" s="31"/>
      <c r="N186" s="31"/>
      <c r="O186" s="55" t="s">
        <v>290</v>
      </c>
      <c r="P186" s="55"/>
      <c r="Q186" s="77"/>
      <c r="R186" s="77"/>
      <c r="S186" s="56"/>
      <c r="T186" s="63"/>
      <c r="U186" s="64"/>
      <c r="V186" s="63">
        <f t="shared" si="13"/>
        <v>0</v>
      </c>
      <c r="W186" s="64">
        <f t="shared" ca="1" si="14"/>
        <v>-46093</v>
      </c>
      <c r="X186" s="65"/>
      <c r="Y186" s="65"/>
      <c r="Z186" s="67" t="s">
        <v>48</v>
      </c>
      <c r="AA186" s="67" t="s">
        <v>48</v>
      </c>
      <c r="AB186" s="67"/>
      <c r="AC186" s="67"/>
      <c r="AD186" s="67" t="s">
        <v>48</v>
      </c>
      <c r="AE186" s="67"/>
      <c r="AF186" s="66" t="s">
        <v>48</v>
      </c>
      <c r="AG186" s="66" t="s">
        <v>48</v>
      </c>
      <c r="AH186" s="69"/>
      <c r="AI186" s="69"/>
      <c r="AJ186" s="69"/>
      <c r="AK186" s="69"/>
      <c r="AL186" s="69"/>
      <c r="AM186" s="69"/>
      <c r="AN186" s="69"/>
      <c r="AO186" s="69"/>
      <c r="AP186" s="66" t="s">
        <v>48</v>
      </c>
      <c r="AQ186" s="64" t="str">
        <f ca="1">IF(ALL_02FEB2024[[#This Row],[Days to Contract End]]&lt;=90,"R",IF(AND(ALL_02FEB2024[[#This Row],[Days to Contract End]]&lt;180),"A","G"))</f>
        <v>R</v>
      </c>
      <c r="AR186" s="70" t="s">
        <v>544</v>
      </c>
    </row>
    <row r="187" spans="2:44" ht="30">
      <c r="B187" s="147" t="s">
        <v>222</v>
      </c>
      <c r="C187" s="71">
        <f>IFERROR(VLOOKUP(B187,'QB Consolidated Contacts'!$A$1:$F$333,6),"-")</f>
        <v>0</v>
      </c>
      <c r="D187" s="208"/>
      <c r="E187" s="62" t="s">
        <v>158</v>
      </c>
      <c r="F187" s="62" t="s">
        <v>288</v>
      </c>
      <c r="G187" s="62"/>
      <c r="H187" s="149" t="s">
        <v>545</v>
      </c>
      <c r="I187" s="54" t="s">
        <v>40</v>
      </c>
      <c r="J187" s="54"/>
      <c r="K187" s="54" t="s">
        <v>108</v>
      </c>
      <c r="L187" s="31" t="s">
        <v>42</v>
      </c>
      <c r="M187" s="31"/>
      <c r="N187" s="31"/>
      <c r="O187" s="55" t="s">
        <v>290</v>
      </c>
      <c r="P187" s="55"/>
      <c r="Q187" s="77"/>
      <c r="R187" s="77"/>
      <c r="S187" s="56"/>
      <c r="T187" s="63"/>
      <c r="U187" s="64"/>
      <c r="V187" s="63">
        <f t="shared" si="13"/>
        <v>0</v>
      </c>
      <c r="W187" s="64">
        <f t="shared" ca="1" si="14"/>
        <v>-46093</v>
      </c>
      <c r="X187" s="65"/>
      <c r="Y187" s="65"/>
      <c r="Z187" s="67" t="s">
        <v>48</v>
      </c>
      <c r="AA187" s="67" t="s">
        <v>48</v>
      </c>
      <c r="AB187" s="67"/>
      <c r="AC187" s="67"/>
      <c r="AD187" s="67" t="s">
        <v>48</v>
      </c>
      <c r="AE187" s="67"/>
      <c r="AF187" s="66" t="s">
        <v>48</v>
      </c>
      <c r="AG187" s="66" t="s">
        <v>48</v>
      </c>
      <c r="AH187" s="69"/>
      <c r="AI187" s="69"/>
      <c r="AJ187" s="69"/>
      <c r="AK187" s="69"/>
      <c r="AL187" s="69"/>
      <c r="AM187" s="69"/>
      <c r="AN187" s="69"/>
      <c r="AO187" s="69"/>
      <c r="AP187" s="66" t="s">
        <v>48</v>
      </c>
      <c r="AQ187" s="64" t="str">
        <f ca="1">IF(ALL_02FEB2024[[#This Row],[Days to Contract End]]&lt;=90,"R",IF(AND(ALL_02FEB2024[[#This Row],[Days to Contract End]]&lt;180),"A","G"))</f>
        <v>R</v>
      </c>
      <c r="AR187" s="70" t="s">
        <v>546</v>
      </c>
    </row>
    <row r="188" spans="2:44" ht="30">
      <c r="B188" s="147" t="s">
        <v>222</v>
      </c>
      <c r="C188" s="71">
        <f>IFERROR(VLOOKUP(B188,'QB Consolidated Contacts'!$A$1:$F$333,6),"-")</f>
        <v>0</v>
      </c>
      <c r="D188" s="208"/>
      <c r="E188" s="62" t="s">
        <v>158</v>
      </c>
      <c r="F188" s="62" t="s">
        <v>288</v>
      </c>
      <c r="G188" s="62"/>
      <c r="H188" s="149" t="s">
        <v>547</v>
      </c>
      <c r="I188" s="54" t="s">
        <v>40</v>
      </c>
      <c r="J188" s="54"/>
      <c r="K188" s="54" t="s">
        <v>108</v>
      </c>
      <c r="L188" s="31" t="s">
        <v>42</v>
      </c>
      <c r="M188" s="31"/>
      <c r="N188" s="31"/>
      <c r="O188" s="55" t="s">
        <v>290</v>
      </c>
      <c r="P188" s="55"/>
      <c r="Q188" s="77"/>
      <c r="R188" s="77"/>
      <c r="S188" s="56"/>
      <c r="T188" s="63"/>
      <c r="U188" s="64"/>
      <c r="V188" s="63">
        <f t="shared" si="13"/>
        <v>0</v>
      </c>
      <c r="W188" s="64">
        <f t="shared" ca="1" si="14"/>
        <v>-46093</v>
      </c>
      <c r="X188" s="65"/>
      <c r="Y188" s="65"/>
      <c r="Z188" s="67" t="s">
        <v>48</v>
      </c>
      <c r="AA188" s="67" t="s">
        <v>48</v>
      </c>
      <c r="AB188" s="67"/>
      <c r="AC188" s="67"/>
      <c r="AD188" s="67" t="s">
        <v>48</v>
      </c>
      <c r="AE188" s="67"/>
      <c r="AF188" s="66" t="s">
        <v>48</v>
      </c>
      <c r="AG188" s="66" t="s">
        <v>48</v>
      </c>
      <c r="AH188" s="69"/>
      <c r="AI188" s="69"/>
      <c r="AJ188" s="69"/>
      <c r="AK188" s="69"/>
      <c r="AL188" s="69"/>
      <c r="AM188" s="69"/>
      <c r="AN188" s="69"/>
      <c r="AO188" s="69"/>
      <c r="AP188" s="66" t="s">
        <v>48</v>
      </c>
      <c r="AQ188" s="64" t="str">
        <f ca="1">IF(ALL_02FEB2024[[#This Row],[Days to Contract End]]&lt;=90,"R",IF(AND(ALL_02FEB2024[[#This Row],[Days to Contract End]]&lt;180),"A","G"))</f>
        <v>R</v>
      </c>
      <c r="AR188" s="70" t="s">
        <v>548</v>
      </c>
    </row>
    <row r="189" spans="2:44" ht="30">
      <c r="B189" s="147" t="s">
        <v>222</v>
      </c>
      <c r="C189" s="71">
        <f>IFERROR(VLOOKUP(B189,'QB Consolidated Contacts'!$A$1:$F$333,6),"-")</f>
        <v>0</v>
      </c>
      <c r="D189" s="208"/>
      <c r="E189" s="62" t="s">
        <v>158</v>
      </c>
      <c r="F189" s="62" t="s">
        <v>288</v>
      </c>
      <c r="G189" s="62"/>
      <c r="H189" s="149" t="s">
        <v>549</v>
      </c>
      <c r="I189" s="54" t="s">
        <v>40</v>
      </c>
      <c r="J189" s="54"/>
      <c r="K189" s="54" t="s">
        <v>108</v>
      </c>
      <c r="L189" s="31" t="s">
        <v>42</v>
      </c>
      <c r="M189" s="31"/>
      <c r="N189" s="31"/>
      <c r="O189" s="55" t="s">
        <v>290</v>
      </c>
      <c r="P189" s="55"/>
      <c r="Q189" s="77"/>
      <c r="R189" s="77"/>
      <c r="S189" s="56"/>
      <c r="T189" s="63"/>
      <c r="U189" s="64"/>
      <c r="V189" s="63">
        <f t="shared" si="13"/>
        <v>0</v>
      </c>
      <c r="W189" s="64">
        <f t="shared" ca="1" si="14"/>
        <v>-46093</v>
      </c>
      <c r="X189" s="65"/>
      <c r="Y189" s="65"/>
      <c r="Z189" s="67" t="s">
        <v>48</v>
      </c>
      <c r="AA189" s="67" t="s">
        <v>48</v>
      </c>
      <c r="AB189" s="67"/>
      <c r="AC189" s="67"/>
      <c r="AD189" s="67" t="s">
        <v>48</v>
      </c>
      <c r="AE189" s="67"/>
      <c r="AF189" s="66" t="s">
        <v>48</v>
      </c>
      <c r="AG189" s="66" t="s">
        <v>48</v>
      </c>
      <c r="AH189" s="69"/>
      <c r="AI189" s="69"/>
      <c r="AJ189" s="69"/>
      <c r="AK189" s="69"/>
      <c r="AL189" s="69"/>
      <c r="AM189" s="69"/>
      <c r="AN189" s="69"/>
      <c r="AO189" s="69"/>
      <c r="AP189" s="66" t="s">
        <v>48</v>
      </c>
      <c r="AQ189" s="64" t="str">
        <f ca="1">IF(ALL_02FEB2024[[#This Row],[Days to Contract End]]&lt;=90,"R",IF(AND(ALL_02FEB2024[[#This Row],[Days to Contract End]]&lt;180),"A","G"))</f>
        <v>R</v>
      </c>
      <c r="AR189" s="70" t="s">
        <v>550</v>
      </c>
    </row>
    <row r="190" spans="2:44" ht="30">
      <c r="B190" s="147" t="s">
        <v>222</v>
      </c>
      <c r="C190" s="71">
        <f>IFERROR(VLOOKUP(B190,'QB Consolidated Contacts'!$A$1:$F$333,6),"-")</f>
        <v>0</v>
      </c>
      <c r="D190" s="208"/>
      <c r="E190" s="62" t="s">
        <v>158</v>
      </c>
      <c r="F190" s="62" t="s">
        <v>288</v>
      </c>
      <c r="G190" s="62"/>
      <c r="H190" s="149" t="s">
        <v>551</v>
      </c>
      <c r="I190" s="54" t="s">
        <v>40</v>
      </c>
      <c r="J190" s="54"/>
      <c r="K190" s="54" t="s">
        <v>108</v>
      </c>
      <c r="L190" s="31" t="s">
        <v>42</v>
      </c>
      <c r="M190" s="31"/>
      <c r="N190" s="31"/>
      <c r="O190" s="55" t="s">
        <v>290</v>
      </c>
      <c r="P190" s="55"/>
      <c r="Q190" s="77"/>
      <c r="R190" s="77"/>
      <c r="S190" s="56"/>
      <c r="T190" s="63"/>
      <c r="U190" s="64"/>
      <c r="V190" s="63">
        <f t="shared" si="13"/>
        <v>0</v>
      </c>
      <c r="W190" s="64">
        <f t="shared" ca="1" si="14"/>
        <v>-46093</v>
      </c>
      <c r="X190" s="65"/>
      <c r="Y190" s="65"/>
      <c r="Z190" s="67" t="s">
        <v>48</v>
      </c>
      <c r="AA190" s="67" t="s">
        <v>48</v>
      </c>
      <c r="AB190" s="67"/>
      <c r="AC190" s="67"/>
      <c r="AD190" s="67" t="s">
        <v>48</v>
      </c>
      <c r="AE190" s="67"/>
      <c r="AF190" s="66" t="s">
        <v>48</v>
      </c>
      <c r="AG190" s="66" t="s">
        <v>48</v>
      </c>
      <c r="AH190" s="69"/>
      <c r="AI190" s="69"/>
      <c r="AJ190" s="69"/>
      <c r="AK190" s="69"/>
      <c r="AL190" s="69"/>
      <c r="AM190" s="69"/>
      <c r="AN190" s="69"/>
      <c r="AO190" s="69"/>
      <c r="AP190" s="66" t="s">
        <v>48</v>
      </c>
      <c r="AQ190" s="64" t="str">
        <f ca="1">IF(ALL_02FEB2024[[#This Row],[Days to Contract End]]&lt;=90,"R",IF(AND(ALL_02FEB2024[[#This Row],[Days to Contract End]]&lt;180),"A","G"))</f>
        <v>R</v>
      </c>
      <c r="AR190" s="70" t="s">
        <v>552</v>
      </c>
    </row>
    <row r="191" spans="2:44" ht="30">
      <c r="B191" s="147" t="s">
        <v>553</v>
      </c>
      <c r="C191" s="71">
        <f>IFERROR(VLOOKUP(B191,'QB Consolidated Contacts'!$A$1:$F$333,6),"-")</f>
        <v>0</v>
      </c>
      <c r="D191" s="208" t="s">
        <v>174</v>
      </c>
      <c r="E191" s="62" t="s">
        <v>158</v>
      </c>
      <c r="F191" s="62" t="s">
        <v>175</v>
      </c>
      <c r="G191" s="62"/>
      <c r="H191" s="143" t="s">
        <v>556</v>
      </c>
      <c r="I191" s="54" t="s">
        <v>40</v>
      </c>
      <c r="J191" s="54"/>
      <c r="K191" s="54" t="s">
        <v>315</v>
      </c>
      <c r="L191" s="31" t="s">
        <v>42</v>
      </c>
      <c r="M191" s="31"/>
      <c r="N191" s="31"/>
      <c r="O191" s="55" t="s">
        <v>290</v>
      </c>
      <c r="P191" s="55"/>
      <c r="Q191" s="77"/>
      <c r="R191" s="77"/>
      <c r="S191" s="56">
        <v>405</v>
      </c>
      <c r="T191" s="63"/>
      <c r="U191" s="64"/>
      <c r="V191" s="63">
        <f t="shared" si="13"/>
        <v>0</v>
      </c>
      <c r="W191" s="64">
        <f t="shared" ca="1" si="14"/>
        <v>-46093</v>
      </c>
      <c r="X191" s="65"/>
      <c r="Y191" s="65"/>
      <c r="Z191" s="67" t="s">
        <v>48</v>
      </c>
      <c r="AA191" s="67" t="s">
        <v>48</v>
      </c>
      <c r="AB191" s="67"/>
      <c r="AC191" s="67"/>
      <c r="AD191" s="67" t="s">
        <v>48</v>
      </c>
      <c r="AE191" s="67"/>
      <c r="AF191" s="66" t="s">
        <v>48</v>
      </c>
      <c r="AG191" s="66" t="s">
        <v>48</v>
      </c>
      <c r="AH191" s="69"/>
      <c r="AI191" s="69"/>
      <c r="AJ191" s="69"/>
      <c r="AK191" s="69"/>
      <c r="AL191" s="69"/>
      <c r="AM191" s="69"/>
      <c r="AN191" s="69"/>
      <c r="AO191" s="69"/>
      <c r="AP191" s="66" t="s">
        <v>48</v>
      </c>
      <c r="AQ191" s="64" t="str">
        <f ca="1">IF(ALL_02FEB2024[[#This Row],[Days to Contract End]]&lt;=90,"R",IF(AND(ALL_02FEB2024[[#This Row],[Days to Contract End]]&lt;180),"A","G"))</f>
        <v>R</v>
      </c>
      <c r="AR191" s="70" t="s">
        <v>557</v>
      </c>
    </row>
    <row r="192" spans="2:44">
      <c r="B192" s="147" t="s">
        <v>224</v>
      </c>
      <c r="C192" s="71">
        <f>IFERROR(VLOOKUP(B192,'QB Consolidated Contacts'!$A$1:$F$333,6),"-")</f>
        <v>0</v>
      </c>
      <c r="D192" s="208"/>
      <c r="E192" s="62" t="s">
        <v>43</v>
      </c>
      <c r="F192" s="62" t="s">
        <v>44</v>
      </c>
      <c r="G192" s="62" t="s">
        <v>634</v>
      </c>
      <c r="H192" s="143" t="s">
        <v>45</v>
      </c>
      <c r="I192" s="54" t="s">
        <v>39</v>
      </c>
      <c r="J192" s="54"/>
      <c r="K192" s="54" t="s">
        <v>315</v>
      </c>
      <c r="L192" s="31" t="s">
        <v>51</v>
      </c>
      <c r="M192" s="31"/>
      <c r="N192" s="31"/>
      <c r="O192" s="55"/>
      <c r="P192" s="55"/>
      <c r="Q192" s="77"/>
      <c r="R192" s="77"/>
      <c r="S192" s="56"/>
      <c r="T192" s="63">
        <v>43608</v>
      </c>
      <c r="U192" s="64"/>
      <c r="V192" s="63">
        <f t="shared" si="13"/>
        <v>43608</v>
      </c>
      <c r="W192" s="64">
        <f t="shared" ca="1" si="14"/>
        <v>-2485</v>
      </c>
      <c r="X192" s="65"/>
      <c r="Y192" s="65"/>
      <c r="Z192" s="67"/>
      <c r="AA192" s="67"/>
      <c r="AB192" s="67"/>
      <c r="AC192" s="67"/>
      <c r="AD192" s="67"/>
      <c r="AE192" s="67"/>
      <c r="AF192" s="66"/>
      <c r="AG192" s="66"/>
      <c r="AH192" s="69"/>
      <c r="AI192" s="69"/>
      <c r="AJ192" s="69"/>
      <c r="AK192" s="69"/>
      <c r="AL192" s="69"/>
      <c r="AM192" s="69"/>
      <c r="AN192" s="69"/>
      <c r="AO192" s="69"/>
      <c r="AP192" s="66"/>
      <c r="AQ192" s="64" t="str">
        <f ca="1">IF(ALL_02FEB2024[[#This Row],[Days to Contract End]]&lt;=90,"R",IF(AND(ALL_02FEB2024[[#This Row],[Days to Contract End]]&lt;180),"A","G"))</f>
        <v>R</v>
      </c>
      <c r="AR192" s="70"/>
    </row>
    <row r="193" spans="2:44" ht="30">
      <c r="B193" s="147" t="s">
        <v>224</v>
      </c>
      <c r="C193" s="71">
        <f>IFERROR(VLOOKUP(B193,'QB Consolidated Contacts'!$A$1:$F$333,6),"-")</f>
        <v>0</v>
      </c>
      <c r="D193" s="208"/>
      <c r="E193" s="62" t="s">
        <v>158</v>
      </c>
      <c r="F193" s="62" t="s">
        <v>288</v>
      </c>
      <c r="G193" s="62" t="s">
        <v>634</v>
      </c>
      <c r="H193" s="143" t="s">
        <v>561</v>
      </c>
      <c r="I193" s="54" t="s">
        <v>39</v>
      </c>
      <c r="J193" s="54"/>
      <c r="K193" s="54" t="s">
        <v>309</v>
      </c>
      <c r="L193" s="31" t="s">
        <v>51</v>
      </c>
      <c r="M193" s="31"/>
      <c r="N193" s="31"/>
      <c r="O193" s="55"/>
      <c r="P193" s="55"/>
      <c r="Q193" s="77"/>
      <c r="R193" s="77"/>
      <c r="S193" s="56"/>
      <c r="T193" s="63">
        <v>44302</v>
      </c>
      <c r="U193" s="64" t="s">
        <v>46</v>
      </c>
      <c r="V193" s="63" t="str">
        <f t="shared" si="13"/>
        <v/>
      </c>
      <c r="W193" s="64" t="str">
        <f t="shared" ca="1" si="14"/>
        <v/>
      </c>
      <c r="X193" s="65"/>
      <c r="Y193" s="65"/>
      <c r="Z193" s="67"/>
      <c r="AA193" s="67"/>
      <c r="AB193" s="67"/>
      <c r="AC193" s="67"/>
      <c r="AD193" s="67"/>
      <c r="AE193" s="67"/>
      <c r="AF193" s="66"/>
      <c r="AG193" s="66"/>
      <c r="AH193" s="69"/>
      <c r="AI193" s="69"/>
      <c r="AJ193" s="69"/>
      <c r="AK193" s="69"/>
      <c r="AL193" s="69"/>
      <c r="AM193" s="69"/>
      <c r="AN193" s="69"/>
      <c r="AO193" s="69"/>
      <c r="AP193" s="66"/>
      <c r="AQ193" s="64" t="str">
        <f ca="1">IF(ALL_02FEB2024[[#This Row],[Days to Contract End]]&lt;=90,"R",IF(AND(ALL_02FEB2024[[#This Row],[Days to Contract End]]&lt;180),"A","G"))</f>
        <v>G</v>
      </c>
      <c r="AR193" s="70" t="s">
        <v>562</v>
      </c>
    </row>
    <row r="194" spans="2:44" ht="30">
      <c r="B194" s="147" t="s">
        <v>227</v>
      </c>
      <c r="C194" s="71">
        <f>IFERROR(VLOOKUP(B194,'QB Consolidated Contacts'!$A$1:$F$333,6),"-")</f>
        <v>0</v>
      </c>
      <c r="D194" s="208"/>
      <c r="E194" s="62" t="s">
        <v>43</v>
      </c>
      <c r="F194" s="62" t="s">
        <v>44</v>
      </c>
      <c r="G194" s="62"/>
      <c r="H194" s="142" t="s">
        <v>45</v>
      </c>
      <c r="I194" s="54" t="s">
        <v>39</v>
      </c>
      <c r="J194" s="54"/>
      <c r="K194" s="54" t="s">
        <v>317</v>
      </c>
      <c r="L194" s="31" t="s">
        <v>42</v>
      </c>
      <c r="M194" s="31"/>
      <c r="N194" s="31"/>
      <c r="O194" s="55"/>
      <c r="P194" s="55"/>
      <c r="Q194" s="77"/>
      <c r="R194" s="77"/>
      <c r="S194" s="56"/>
      <c r="T194" s="63">
        <v>42979</v>
      </c>
      <c r="U194" s="64">
        <v>12</v>
      </c>
      <c r="V194" s="63">
        <f>IFERROR(EOMONTH(T194,U194),"")</f>
        <v>43373</v>
      </c>
      <c r="W194" s="64">
        <f t="shared" ca="1" si="14"/>
        <v>-2720</v>
      </c>
      <c r="X194" s="65"/>
      <c r="Y194" s="65"/>
      <c r="Z194" s="67"/>
      <c r="AA194" s="67"/>
      <c r="AB194" s="67"/>
      <c r="AC194" s="67"/>
      <c r="AD194" s="67"/>
      <c r="AE194" s="67"/>
      <c r="AF194" s="66"/>
      <c r="AG194" s="66"/>
      <c r="AH194" s="69"/>
      <c r="AI194" s="69"/>
      <c r="AJ194" s="69"/>
      <c r="AK194" s="69"/>
      <c r="AL194" s="69"/>
      <c r="AM194" s="69"/>
      <c r="AN194" s="69"/>
      <c r="AO194" s="69"/>
      <c r="AP194" s="66"/>
      <c r="AQ194" s="64" t="str">
        <f ca="1">IF(ALL_02FEB2024[[#This Row],[Days to Contract End]]&lt;=90,"R",IF(AND(ALL_02FEB2024[[#This Row],[Days to Contract End]]&lt;180),"A","G"))</f>
        <v>R</v>
      </c>
      <c r="AR194" s="70"/>
    </row>
    <row r="195" spans="2:44" ht="30">
      <c r="B195" s="147" t="s">
        <v>227</v>
      </c>
      <c r="C195" s="71">
        <f>IFERROR(VLOOKUP(B195,'QB Consolidated Contacts'!$A$1:$F$333,6),"-")</f>
        <v>0</v>
      </c>
      <c r="D195" s="208" t="s">
        <v>132</v>
      </c>
      <c r="E195" s="62" t="s">
        <v>158</v>
      </c>
      <c r="F195" s="62" t="s">
        <v>288</v>
      </c>
      <c r="G195" s="62" t="s">
        <v>641</v>
      </c>
      <c r="H195" s="143" t="s">
        <v>565</v>
      </c>
      <c r="I195" s="54" t="s">
        <v>39</v>
      </c>
      <c r="J195" s="54" t="s">
        <v>40</v>
      </c>
      <c r="K195" s="54" t="s">
        <v>315</v>
      </c>
      <c r="L195" s="31" t="s">
        <v>42</v>
      </c>
      <c r="M195" s="31"/>
      <c r="N195" s="31"/>
      <c r="O195" s="55" t="s">
        <v>290</v>
      </c>
      <c r="P195" s="55"/>
      <c r="Q195" s="77">
        <v>4000</v>
      </c>
      <c r="R195" s="77"/>
      <c r="S195" s="56"/>
      <c r="T195" s="63">
        <v>42979</v>
      </c>
      <c r="U195" s="64">
        <v>36</v>
      </c>
      <c r="V195" s="63">
        <f>IFERROR(EOMONTH(T195,U195),"")</f>
        <v>44104</v>
      </c>
      <c r="W195" s="64">
        <f t="shared" ca="1" si="14"/>
        <v>-1989</v>
      </c>
      <c r="X195" s="65"/>
      <c r="Y195" s="65"/>
      <c r="Z195" s="67"/>
      <c r="AA195" s="67"/>
      <c r="AB195" s="67"/>
      <c r="AC195" s="67"/>
      <c r="AD195" s="67"/>
      <c r="AE195" s="67"/>
      <c r="AF195" s="66"/>
      <c r="AG195" s="66"/>
      <c r="AH195" s="69"/>
      <c r="AI195" s="69"/>
      <c r="AJ195" s="69"/>
      <c r="AK195" s="69"/>
      <c r="AL195" s="69"/>
      <c r="AM195" s="69"/>
      <c r="AN195" s="69"/>
      <c r="AO195" s="69"/>
      <c r="AP195" s="66"/>
      <c r="AQ195" s="64" t="str">
        <f ca="1">IF(ALL_02FEB2024[[#This Row],[Days to Contract End]]&lt;=90,"R",IF(AND(ALL_02FEB2024[[#This Row],[Days to Contract End]]&lt;180),"A","G"))</f>
        <v>R</v>
      </c>
      <c r="AR195" s="70"/>
    </row>
    <row r="196" spans="2:44">
      <c r="B196" s="147" t="s">
        <v>228</v>
      </c>
      <c r="C196" s="71">
        <f>IFERROR(VLOOKUP(B196,'QB Consolidated Contacts'!$A$1:$F$333,6),"-")</f>
        <v>0</v>
      </c>
      <c r="D196" s="208"/>
      <c r="E196" s="62" t="s">
        <v>43</v>
      </c>
      <c r="F196" s="62" t="s">
        <v>44</v>
      </c>
      <c r="G196" s="62"/>
      <c r="H196" s="143" t="s">
        <v>45</v>
      </c>
      <c r="I196" s="54" t="s">
        <v>39</v>
      </c>
      <c r="J196" s="54"/>
      <c r="K196" s="54" t="s">
        <v>315</v>
      </c>
      <c r="L196" s="31" t="s">
        <v>42</v>
      </c>
      <c r="M196" s="31" t="s">
        <v>40</v>
      </c>
      <c r="N196" s="31"/>
      <c r="O196" s="55" t="s">
        <v>48</v>
      </c>
      <c r="P196" s="55"/>
      <c r="Q196" s="77"/>
      <c r="R196" s="77"/>
      <c r="S196" s="56"/>
      <c r="T196" s="63">
        <v>43356</v>
      </c>
      <c r="U196" s="64" t="s">
        <v>46</v>
      </c>
      <c r="V196" s="63" t="str">
        <f t="shared" ref="V196:V210" si="15">IFERROR(EDATE(T196,U196),"")</f>
        <v/>
      </c>
      <c r="W196" s="64" t="str">
        <f t="shared" ca="1" si="14"/>
        <v/>
      </c>
      <c r="X196" s="65"/>
      <c r="Y196" s="65"/>
      <c r="Z196" s="67"/>
      <c r="AA196" s="67"/>
      <c r="AB196" s="67"/>
      <c r="AC196" s="67"/>
      <c r="AD196" s="67"/>
      <c r="AE196" s="67"/>
      <c r="AF196" s="66"/>
      <c r="AG196" s="66"/>
      <c r="AH196" s="69"/>
      <c r="AI196" s="69"/>
      <c r="AJ196" s="69"/>
      <c r="AK196" s="69"/>
      <c r="AL196" s="69"/>
      <c r="AM196" s="69"/>
      <c r="AN196" s="69"/>
      <c r="AO196" s="69"/>
      <c r="AP196" s="66"/>
      <c r="AQ196" s="64" t="str">
        <f ca="1">IF(ALL_02FEB2024[[#This Row],[Days to Contract End]]&lt;=90,"R",IF(AND(ALL_02FEB2024[[#This Row],[Days to Contract End]]&lt;180),"A","G"))</f>
        <v>G</v>
      </c>
      <c r="AR196" s="70"/>
    </row>
    <row r="197" spans="2:44">
      <c r="B197" s="147" t="s">
        <v>228</v>
      </c>
      <c r="C197" s="71">
        <f>IFERROR(VLOOKUP(B197,'QB Consolidated Contacts'!$A$1:$F$333,6),"-")</f>
        <v>0</v>
      </c>
      <c r="D197" s="208"/>
      <c r="E197" s="62" t="s">
        <v>66</v>
      </c>
      <c r="F197" s="62" t="s">
        <v>44</v>
      </c>
      <c r="G197" s="62"/>
      <c r="H197" s="143" t="s">
        <v>78</v>
      </c>
      <c r="I197" s="54" t="s">
        <v>39</v>
      </c>
      <c r="J197" s="54" t="s">
        <v>40</v>
      </c>
      <c r="K197" s="54" t="s">
        <v>315</v>
      </c>
      <c r="L197" s="31" t="s">
        <v>42</v>
      </c>
      <c r="M197" s="31"/>
      <c r="N197" s="31"/>
      <c r="O197" s="55" t="s">
        <v>48</v>
      </c>
      <c r="P197" s="55"/>
      <c r="Q197" s="77"/>
      <c r="R197" s="77"/>
      <c r="S197" s="56"/>
      <c r="T197" s="63">
        <v>43356</v>
      </c>
      <c r="U197" s="64">
        <v>12</v>
      </c>
      <c r="V197" s="63">
        <f t="shared" si="15"/>
        <v>43721</v>
      </c>
      <c r="W197" s="64">
        <f t="shared" ca="1" si="14"/>
        <v>-2372</v>
      </c>
      <c r="X197" s="65"/>
      <c r="Y197" s="65"/>
      <c r="Z197" s="67"/>
      <c r="AA197" s="67"/>
      <c r="AB197" s="67"/>
      <c r="AC197" s="67"/>
      <c r="AD197" s="67"/>
      <c r="AE197" s="67"/>
      <c r="AF197" s="66"/>
      <c r="AG197" s="66"/>
      <c r="AH197" s="69"/>
      <c r="AI197" s="69"/>
      <c r="AJ197" s="69"/>
      <c r="AK197" s="69"/>
      <c r="AL197" s="69"/>
      <c r="AM197" s="69"/>
      <c r="AN197" s="69"/>
      <c r="AO197" s="69"/>
      <c r="AP197" s="66"/>
      <c r="AQ197" s="64" t="str">
        <f ca="1">IF(ALL_02FEB2024[[#This Row],[Days to Contract End]]&lt;=90,"R",IF(AND(ALL_02FEB2024[[#This Row],[Days to Contract End]]&lt;180),"A","G"))</f>
        <v>R</v>
      </c>
      <c r="AR197" s="70"/>
    </row>
    <row r="198" spans="2:44" ht="30">
      <c r="B198" s="147" t="s">
        <v>553</v>
      </c>
      <c r="C198" s="71">
        <f>IFERROR(VLOOKUP(B198,'QB Consolidated Contacts'!$A$1:$F$333,6),"-")</f>
        <v>0</v>
      </c>
      <c r="D198" s="208" t="s">
        <v>174</v>
      </c>
      <c r="E198" s="62" t="s">
        <v>158</v>
      </c>
      <c r="F198" s="62" t="s">
        <v>175</v>
      </c>
      <c r="G198" s="62" t="s">
        <v>632</v>
      </c>
      <c r="H198" s="144" t="s">
        <v>554</v>
      </c>
      <c r="I198" s="54" t="s">
        <v>40</v>
      </c>
      <c r="J198" s="54"/>
      <c r="K198" s="54"/>
      <c r="L198" s="31"/>
      <c r="M198" s="31"/>
      <c r="N198" s="31"/>
      <c r="O198" s="55"/>
      <c r="P198" s="55"/>
      <c r="Q198" s="77"/>
      <c r="R198" s="77"/>
      <c r="S198" s="56"/>
      <c r="T198" s="63"/>
      <c r="U198" s="64"/>
      <c r="V198" s="63">
        <f>IFERROR(EDATE(T198,U198),"")</f>
        <v>0</v>
      </c>
      <c r="W198" s="64">
        <f ca="1">IFERROR(V198-TODAY(),"")</f>
        <v>-46093</v>
      </c>
      <c r="X198" s="65"/>
      <c r="Y198" s="65"/>
      <c r="Z198" s="67"/>
      <c r="AA198" s="67"/>
      <c r="AB198" s="67"/>
      <c r="AC198" s="67"/>
      <c r="AD198" s="67"/>
      <c r="AE198" s="67"/>
      <c r="AF198" s="66"/>
      <c r="AG198" s="66"/>
      <c r="AH198" s="69"/>
      <c r="AI198" s="69"/>
      <c r="AJ198" s="69"/>
      <c r="AK198" s="69"/>
      <c r="AL198" s="69"/>
      <c r="AM198" s="69"/>
      <c r="AN198" s="69"/>
      <c r="AO198" s="69"/>
      <c r="AP198" s="66"/>
      <c r="AQ198" s="64" t="str">
        <f ca="1">IF(ALL_02FEB2024[[#This Row],[Days to Contract End]]&lt;=90,"R",IF(AND(ALL_02FEB2024[[#This Row],[Days to Contract End]]&lt;180),"A","G"))</f>
        <v>R</v>
      </c>
      <c r="AR198" s="70"/>
    </row>
    <row r="199" spans="2:44" ht="30">
      <c r="B199" s="147" t="s">
        <v>224</v>
      </c>
      <c r="C199" s="71">
        <f>IFERROR(VLOOKUP(B199,'QB Consolidated Contacts'!$A$1:$F$333,6),"-")</f>
        <v>0</v>
      </c>
      <c r="D199" s="208"/>
      <c r="E199" s="62" t="s">
        <v>158</v>
      </c>
      <c r="F199" s="62" t="s">
        <v>288</v>
      </c>
      <c r="G199" s="62" t="s">
        <v>634</v>
      </c>
      <c r="H199" s="142" t="s">
        <v>560</v>
      </c>
      <c r="I199" s="54" t="s">
        <v>39</v>
      </c>
      <c r="J199" s="54" t="s">
        <v>39</v>
      </c>
      <c r="K199" s="54" t="s">
        <v>315</v>
      </c>
      <c r="L199" s="31" t="s">
        <v>51</v>
      </c>
      <c r="M199" s="31"/>
      <c r="N199" s="31"/>
      <c r="O199" s="55"/>
      <c r="P199" s="55"/>
      <c r="Q199" s="77"/>
      <c r="R199" s="77"/>
      <c r="S199" s="56"/>
      <c r="T199" s="63">
        <v>45300</v>
      </c>
      <c r="U199" s="64" t="s">
        <v>220</v>
      </c>
      <c r="V199" s="63" t="str">
        <f>IFERROR(EDATE(T199,U199),"")</f>
        <v/>
      </c>
      <c r="W199" s="64" t="str">
        <f ca="1">IFERROR(V199-TODAY(),"")</f>
        <v/>
      </c>
      <c r="X199" s="65"/>
      <c r="Y199" s="65"/>
      <c r="Z199" s="67"/>
      <c r="AA199" s="67"/>
      <c r="AB199" s="67"/>
      <c r="AC199" s="67"/>
      <c r="AD199" s="67"/>
      <c r="AE199" s="67"/>
      <c r="AF199" s="66"/>
      <c r="AG199" s="66"/>
      <c r="AH199" s="69"/>
      <c r="AI199" s="69"/>
      <c r="AJ199" s="69"/>
      <c r="AK199" s="69"/>
      <c r="AL199" s="69"/>
      <c r="AM199" s="69"/>
      <c r="AN199" s="69"/>
      <c r="AO199" s="69"/>
      <c r="AP199" s="66"/>
      <c r="AQ199" s="64" t="str">
        <f ca="1">IF(ALL_02FEB2024[[#This Row],[Days to Contract End]]&lt;=90,"R",IF(AND(ALL_02FEB2024[[#This Row],[Days to Contract End]]&lt;180),"A","G"))</f>
        <v>G</v>
      </c>
      <c r="AR199" s="70"/>
    </row>
    <row r="200" spans="2:44" ht="30">
      <c r="B200" s="147" t="s">
        <v>642</v>
      </c>
      <c r="C200" s="71">
        <f>IFERROR(VLOOKUP(B200,'QB Consolidated Contacts'!$A$1:$F$333,6),"-")</f>
        <v>0</v>
      </c>
      <c r="D200" s="208"/>
      <c r="E200" s="62" t="s">
        <v>158</v>
      </c>
      <c r="F200" s="62" t="s">
        <v>288</v>
      </c>
      <c r="G200" s="62" t="s">
        <v>634</v>
      </c>
      <c r="H200" s="142" t="s">
        <v>560</v>
      </c>
      <c r="I200" s="54"/>
      <c r="J200" s="54"/>
      <c r="K200" s="54" t="s">
        <v>309</v>
      </c>
      <c r="L200" s="31"/>
      <c r="M200" s="31"/>
      <c r="N200" s="31"/>
      <c r="O200" s="55"/>
      <c r="P200" s="55"/>
      <c r="Q200" s="77"/>
      <c r="R200" s="77"/>
      <c r="S200" s="56"/>
      <c r="T200" s="63">
        <v>44942</v>
      </c>
      <c r="U200" s="64" t="s">
        <v>46</v>
      </c>
      <c r="V200" s="63" t="str">
        <f>IFERROR(EDATE(T200,U200),"")</f>
        <v/>
      </c>
      <c r="W200" s="64" t="str">
        <f ca="1">IFERROR(V200-TODAY(),"")</f>
        <v/>
      </c>
      <c r="X200" s="65"/>
      <c r="Y200" s="65"/>
      <c r="Z200" s="67"/>
      <c r="AA200" s="67"/>
      <c r="AB200" s="67"/>
      <c r="AC200" s="67"/>
      <c r="AD200" s="67"/>
      <c r="AE200" s="67"/>
      <c r="AF200" s="66"/>
      <c r="AG200" s="66"/>
      <c r="AH200" s="69"/>
      <c r="AI200" s="69"/>
      <c r="AJ200" s="69"/>
      <c r="AK200" s="69"/>
      <c r="AL200" s="69"/>
      <c r="AM200" s="69"/>
      <c r="AN200" s="69"/>
      <c r="AO200" s="69"/>
      <c r="AP200" s="66"/>
      <c r="AQ200" s="64" t="str">
        <f ca="1">IF(ALL_02FEB2024[[#This Row],[Days to Contract End]]&lt;=90,"R",IF(AND(ALL_02FEB2024[[#This Row],[Days to Contract End]]&lt;180),"A","G"))</f>
        <v>G</v>
      </c>
      <c r="AR200" s="70"/>
    </row>
    <row r="201" spans="2:44" ht="30">
      <c r="B201" s="147" t="s">
        <v>228</v>
      </c>
      <c r="C201" s="71">
        <f>IFERROR(VLOOKUP(B201,'QB Consolidated Contacts'!$A$1:$F$333,6),"-")</f>
        <v>0</v>
      </c>
      <c r="D201" s="208" t="s">
        <v>132</v>
      </c>
      <c r="E201" s="62" t="s">
        <v>158</v>
      </c>
      <c r="F201" s="62" t="s">
        <v>288</v>
      </c>
      <c r="G201" s="62"/>
      <c r="H201" s="143" t="s">
        <v>567</v>
      </c>
      <c r="I201" s="54" t="s">
        <v>39</v>
      </c>
      <c r="J201" s="54"/>
      <c r="K201" s="54" t="s">
        <v>315</v>
      </c>
      <c r="L201" s="31" t="s">
        <v>42</v>
      </c>
      <c r="M201" s="31" t="s">
        <v>40</v>
      </c>
      <c r="N201" s="31"/>
      <c r="O201" s="55" t="s">
        <v>290</v>
      </c>
      <c r="P201" s="55"/>
      <c r="Q201" s="77"/>
      <c r="R201" s="77"/>
      <c r="S201" s="56"/>
      <c r="T201" s="63">
        <v>44105</v>
      </c>
      <c r="U201" s="64" t="s">
        <v>46</v>
      </c>
      <c r="V201" s="63" t="str">
        <f t="shared" si="15"/>
        <v/>
      </c>
      <c r="W201" s="64" t="str">
        <f t="shared" ca="1" si="14"/>
        <v/>
      </c>
      <c r="X201" s="65"/>
      <c r="Y201" s="65"/>
      <c r="Z201" s="67" t="s">
        <v>48</v>
      </c>
      <c r="AA201" s="67" t="s">
        <v>48</v>
      </c>
      <c r="AB201" s="67"/>
      <c r="AC201" s="67"/>
      <c r="AD201" s="67" t="s">
        <v>48</v>
      </c>
      <c r="AE201" s="67"/>
      <c r="AF201" s="66" t="s">
        <v>48</v>
      </c>
      <c r="AG201" s="66" t="s">
        <v>48</v>
      </c>
      <c r="AH201" s="69"/>
      <c r="AI201" s="69"/>
      <c r="AJ201" s="69"/>
      <c r="AK201" s="69"/>
      <c r="AL201" s="69"/>
      <c r="AM201" s="69"/>
      <c r="AN201" s="69"/>
      <c r="AO201" s="69"/>
      <c r="AP201" s="66" t="s">
        <v>48</v>
      </c>
      <c r="AQ201" s="64" t="str">
        <f ca="1">IF(ALL_02FEB2024[[#This Row],[Days to Contract End]]&lt;=90,"R",IF(AND(ALL_02FEB2024[[#This Row],[Days to Contract End]]&lt;180),"A","G"))</f>
        <v>G</v>
      </c>
      <c r="AR201" s="70" t="s">
        <v>568</v>
      </c>
    </row>
    <row r="202" spans="2:44">
      <c r="B202" s="147" t="s">
        <v>229</v>
      </c>
      <c r="C202" s="71">
        <f>IFERROR(VLOOKUP(B202,'QB Consolidated Contacts'!$A$1:$F$333,6),"-")</f>
        <v>0</v>
      </c>
      <c r="D202" s="208"/>
      <c r="E202" s="62" t="s">
        <v>43</v>
      </c>
      <c r="F202" s="62" t="s">
        <v>44</v>
      </c>
      <c r="G202" s="62"/>
      <c r="H202" s="143" t="s">
        <v>45</v>
      </c>
      <c r="I202" s="54" t="s">
        <v>39</v>
      </c>
      <c r="J202" s="54"/>
      <c r="K202" s="54" t="s">
        <v>315</v>
      </c>
      <c r="L202" s="31" t="s">
        <v>42</v>
      </c>
      <c r="M202" s="31"/>
      <c r="N202" s="31"/>
      <c r="O202" s="55" t="s">
        <v>48</v>
      </c>
      <c r="P202" s="55"/>
      <c r="Q202" s="77"/>
      <c r="R202" s="77"/>
      <c r="S202" s="56"/>
      <c r="T202" s="63">
        <v>43290</v>
      </c>
      <c r="U202" s="64"/>
      <c r="V202" s="63">
        <f t="shared" si="15"/>
        <v>43290</v>
      </c>
      <c r="W202" s="64">
        <f t="shared" ca="1" si="14"/>
        <v>-2803</v>
      </c>
      <c r="X202" s="65"/>
      <c r="Y202" s="65"/>
      <c r="Z202" s="67"/>
      <c r="AA202" s="67"/>
      <c r="AB202" s="67"/>
      <c r="AC202" s="67"/>
      <c r="AD202" s="67"/>
      <c r="AE202" s="67"/>
      <c r="AF202" s="66"/>
      <c r="AG202" s="66"/>
      <c r="AH202" s="69"/>
      <c r="AI202" s="69"/>
      <c r="AJ202" s="69"/>
      <c r="AK202" s="69"/>
      <c r="AL202" s="69"/>
      <c r="AM202" s="69"/>
      <c r="AN202" s="69"/>
      <c r="AO202" s="69"/>
      <c r="AP202" s="66"/>
      <c r="AQ202" s="64" t="str">
        <f ca="1">IF(ALL_02FEB2024[[#This Row],[Days to Contract End]]&lt;=90,"R",IF(AND(ALL_02FEB2024[[#This Row],[Days to Contract End]]&lt;180),"A","G"))</f>
        <v>R</v>
      </c>
      <c r="AR202" s="70"/>
    </row>
    <row r="203" spans="2:44">
      <c r="B203" s="147" t="s">
        <v>229</v>
      </c>
      <c r="C203" s="71">
        <f>IFERROR(VLOOKUP(B203,'QB Consolidated Contacts'!$A$1:$F$333,6),"-")</f>
        <v>0</v>
      </c>
      <c r="D203" s="208"/>
      <c r="E203" s="62" t="s">
        <v>66</v>
      </c>
      <c r="F203" s="62" t="s">
        <v>44</v>
      </c>
      <c r="G203" s="62"/>
      <c r="H203" s="143" t="s">
        <v>78</v>
      </c>
      <c r="I203" s="54" t="s">
        <v>39</v>
      </c>
      <c r="J203" s="54"/>
      <c r="K203" s="54" t="s">
        <v>315</v>
      </c>
      <c r="L203" s="31" t="s">
        <v>42</v>
      </c>
      <c r="M203" s="31"/>
      <c r="N203" s="31" t="s">
        <v>144</v>
      </c>
      <c r="O203" s="55" t="s">
        <v>48</v>
      </c>
      <c r="P203" s="55"/>
      <c r="Q203" s="77"/>
      <c r="R203" s="77"/>
      <c r="S203" s="56" t="s">
        <v>144</v>
      </c>
      <c r="T203" s="63">
        <v>44156</v>
      </c>
      <c r="U203" s="64">
        <v>60</v>
      </c>
      <c r="V203" s="63">
        <f t="shared" si="15"/>
        <v>45982</v>
      </c>
      <c r="W203" s="64">
        <f t="shared" ca="1" si="14"/>
        <v>-111</v>
      </c>
      <c r="X203" s="65"/>
      <c r="Y203" s="65"/>
      <c r="Z203" s="67"/>
      <c r="AA203" s="67"/>
      <c r="AB203" s="67"/>
      <c r="AC203" s="67"/>
      <c r="AD203" s="67"/>
      <c r="AE203" s="67"/>
      <c r="AF203" s="66"/>
      <c r="AG203" s="66"/>
      <c r="AH203" s="69"/>
      <c r="AI203" s="69"/>
      <c r="AJ203" s="69"/>
      <c r="AK203" s="69"/>
      <c r="AL203" s="69"/>
      <c r="AM203" s="69"/>
      <c r="AN203" s="69"/>
      <c r="AO203" s="69"/>
      <c r="AP203" s="66"/>
      <c r="AQ203" s="64" t="str">
        <f ca="1">IF(ALL_02FEB2024[[#This Row],[Days to Contract End]]&lt;=90,"R",IF(AND(ALL_02FEB2024[[#This Row],[Days to Contract End]]&lt;180),"A","G"))</f>
        <v>R</v>
      </c>
      <c r="AR203" s="70"/>
    </row>
    <row r="204" spans="2:44" ht="30">
      <c r="B204" s="147" t="s">
        <v>229</v>
      </c>
      <c r="C204" s="71">
        <f>IFERROR(VLOOKUP(B204,'QB Consolidated Contacts'!$A$1:$F$333,6),"-")</f>
        <v>0</v>
      </c>
      <c r="D204" s="208"/>
      <c r="E204" s="62" t="s">
        <v>158</v>
      </c>
      <c r="F204" s="62" t="s">
        <v>175</v>
      </c>
      <c r="G204" s="62"/>
      <c r="H204" s="144" t="s">
        <v>572</v>
      </c>
      <c r="I204" s="54"/>
      <c r="J204" s="54"/>
      <c r="K204" s="54"/>
      <c r="L204" s="31"/>
      <c r="M204" s="31"/>
      <c r="N204" s="31"/>
      <c r="O204" s="55"/>
      <c r="P204" s="55"/>
      <c r="Q204" s="77"/>
      <c r="R204" s="77"/>
      <c r="S204" s="56"/>
      <c r="T204" s="63"/>
      <c r="U204" s="64"/>
      <c r="V204" s="63">
        <f>IFERROR(EDATE(T204,U204),"")</f>
        <v>0</v>
      </c>
      <c r="W204" s="64">
        <f ca="1">IFERROR(V204-TODAY(),"")</f>
        <v>-46093</v>
      </c>
      <c r="X204" s="65"/>
      <c r="Y204" s="65"/>
      <c r="Z204" s="67"/>
      <c r="AA204" s="67"/>
      <c r="AB204" s="67"/>
      <c r="AC204" s="67"/>
      <c r="AD204" s="67"/>
      <c r="AE204" s="67"/>
      <c r="AF204" s="66"/>
      <c r="AG204" s="66"/>
      <c r="AH204" s="69"/>
      <c r="AI204" s="69"/>
      <c r="AJ204" s="69"/>
      <c r="AK204" s="69"/>
      <c r="AL204" s="69"/>
      <c r="AM204" s="69"/>
      <c r="AN204" s="69"/>
      <c r="AO204" s="69"/>
      <c r="AP204" s="66"/>
      <c r="AQ204" s="64" t="str">
        <f ca="1">IF(ALL_02FEB2024[[#This Row],[Days to Contract End]]&lt;=90,"R",IF(AND(ALL_02FEB2024[[#This Row],[Days to Contract End]]&lt;180),"A","G"))</f>
        <v>R</v>
      </c>
      <c r="AR204" s="70"/>
    </row>
    <row r="205" spans="2:44" ht="30">
      <c r="B205" s="147" t="s">
        <v>229</v>
      </c>
      <c r="C205" s="71">
        <f>IFERROR(VLOOKUP(B205,'QB Consolidated Contacts'!$A$1:$F$333,6),"-")</f>
        <v>0</v>
      </c>
      <c r="D205" s="208"/>
      <c r="E205" s="62" t="s">
        <v>158</v>
      </c>
      <c r="F205" s="62" t="s">
        <v>175</v>
      </c>
      <c r="G205" s="62"/>
      <c r="H205" s="144" t="s">
        <v>573</v>
      </c>
      <c r="I205" s="54"/>
      <c r="J205" s="54"/>
      <c r="K205" s="54"/>
      <c r="L205" s="31"/>
      <c r="M205" s="31"/>
      <c r="N205" s="31"/>
      <c r="O205" s="55"/>
      <c r="P205" s="55"/>
      <c r="Q205" s="77"/>
      <c r="R205" s="77"/>
      <c r="S205" s="56"/>
      <c r="T205" s="63"/>
      <c r="U205" s="64"/>
      <c r="V205" s="63">
        <f>IFERROR(EDATE(T205,U205),"")</f>
        <v>0</v>
      </c>
      <c r="W205" s="64">
        <f ca="1">IFERROR(V205-TODAY(),"")</f>
        <v>-46093</v>
      </c>
      <c r="X205" s="65"/>
      <c r="Y205" s="65"/>
      <c r="Z205" s="67"/>
      <c r="AA205" s="67"/>
      <c r="AB205" s="67"/>
      <c r="AC205" s="67"/>
      <c r="AD205" s="67"/>
      <c r="AE205" s="67"/>
      <c r="AF205" s="66"/>
      <c r="AG205" s="66"/>
      <c r="AH205" s="69"/>
      <c r="AI205" s="69"/>
      <c r="AJ205" s="69"/>
      <c r="AK205" s="69"/>
      <c r="AL205" s="69"/>
      <c r="AM205" s="69"/>
      <c r="AN205" s="69"/>
      <c r="AO205" s="69"/>
      <c r="AP205" s="66"/>
      <c r="AQ205" s="64" t="str">
        <f ca="1">IF(ALL_02FEB2024[[#This Row],[Days to Contract End]]&lt;=90,"R",IF(AND(ALL_02FEB2024[[#This Row],[Days to Contract End]]&lt;180),"A","G"))</f>
        <v>R</v>
      </c>
      <c r="AR205" s="70"/>
    </row>
    <row r="206" spans="2:44" ht="30">
      <c r="B206" s="147" t="s">
        <v>229</v>
      </c>
      <c r="C206" s="71">
        <f>IFERROR(VLOOKUP(B206,'QB Consolidated Contacts'!$A$1:$F$333,6),"-")</f>
        <v>0</v>
      </c>
      <c r="D206" s="208" t="s">
        <v>132</v>
      </c>
      <c r="E206" s="62" t="s">
        <v>158</v>
      </c>
      <c r="F206" s="62" t="s">
        <v>175</v>
      </c>
      <c r="G206" s="62"/>
      <c r="H206" s="234" t="s">
        <v>570</v>
      </c>
      <c r="I206" s="54" t="s">
        <v>39</v>
      </c>
      <c r="J206" s="54"/>
      <c r="K206" s="54" t="s">
        <v>315</v>
      </c>
      <c r="L206" s="31" t="s">
        <v>42</v>
      </c>
      <c r="M206" s="31"/>
      <c r="N206" s="31"/>
      <c r="O206" s="55" t="s">
        <v>571</v>
      </c>
      <c r="P206" s="55"/>
      <c r="Q206" s="77"/>
      <c r="R206" s="77"/>
      <c r="S206" s="56"/>
      <c r="T206" s="63">
        <v>44378</v>
      </c>
      <c r="U206" s="64" t="s">
        <v>46</v>
      </c>
      <c r="V206" s="63" t="str">
        <f t="shared" si="15"/>
        <v/>
      </c>
      <c r="W206" s="64" t="str">
        <f t="shared" ca="1" si="14"/>
        <v/>
      </c>
      <c r="X206" s="65"/>
      <c r="Y206" s="65"/>
      <c r="Z206" s="67" t="s">
        <v>48</v>
      </c>
      <c r="AA206" s="67" t="s">
        <v>48</v>
      </c>
      <c r="AB206" s="67"/>
      <c r="AC206" s="67"/>
      <c r="AD206" s="67" t="s">
        <v>48</v>
      </c>
      <c r="AE206" s="67"/>
      <c r="AF206" s="66" t="s">
        <v>48</v>
      </c>
      <c r="AG206" s="66" t="s">
        <v>48</v>
      </c>
      <c r="AH206" s="69"/>
      <c r="AI206" s="69"/>
      <c r="AJ206" s="69"/>
      <c r="AK206" s="69"/>
      <c r="AL206" s="69"/>
      <c r="AM206" s="69"/>
      <c r="AN206" s="69"/>
      <c r="AO206" s="69"/>
      <c r="AP206" s="66" t="s">
        <v>48</v>
      </c>
      <c r="AQ206" s="64" t="str">
        <f ca="1">IF(ALL_02FEB2024[[#This Row],[Days to Contract End]]&lt;=90,"R",IF(AND(ALL_02FEB2024[[#This Row],[Days to Contract End]]&lt;180),"A","G"))</f>
        <v>G</v>
      </c>
      <c r="AR206" s="235"/>
    </row>
    <row r="207" spans="2:44" ht="45">
      <c r="B207" s="147" t="s">
        <v>230</v>
      </c>
      <c r="C207" s="71">
        <f>IFERROR(VLOOKUP(B207,'QB Consolidated Contacts'!$A$1:$F$333,6),"-")</f>
        <v>0</v>
      </c>
      <c r="D207" s="208"/>
      <c r="E207" s="62" t="s">
        <v>43</v>
      </c>
      <c r="F207" s="62" t="s">
        <v>44</v>
      </c>
      <c r="G207" s="62"/>
      <c r="H207" s="143" t="s">
        <v>45</v>
      </c>
      <c r="I207" s="54" t="s">
        <v>39</v>
      </c>
      <c r="J207" s="54" t="s">
        <v>39</v>
      </c>
      <c r="K207" s="54" t="s">
        <v>315</v>
      </c>
      <c r="L207" s="31" t="s">
        <v>51</v>
      </c>
      <c r="M207" s="31"/>
      <c r="N207" s="31"/>
      <c r="O207" s="55"/>
      <c r="P207" s="55" t="s">
        <v>643</v>
      </c>
      <c r="Q207" s="77"/>
      <c r="R207" s="77"/>
      <c r="S207" s="56"/>
      <c r="T207" s="63">
        <v>44075</v>
      </c>
      <c r="U207" s="64">
        <v>36</v>
      </c>
      <c r="V207" s="63">
        <f t="shared" si="15"/>
        <v>45170</v>
      </c>
      <c r="W207" s="64">
        <f t="shared" ca="1" si="14"/>
        <v>-923</v>
      </c>
      <c r="X207" s="65" t="s">
        <v>39</v>
      </c>
      <c r="Y207" s="65"/>
      <c r="Z207" s="67" t="s">
        <v>47</v>
      </c>
      <c r="AA207" s="73" t="s">
        <v>49</v>
      </c>
      <c r="AB207" s="67"/>
      <c r="AC207" s="67"/>
      <c r="AD207" s="67"/>
      <c r="AE207" s="67"/>
      <c r="AF207" s="66"/>
      <c r="AG207" s="66"/>
      <c r="AH207" s="69"/>
      <c r="AI207" s="69"/>
      <c r="AJ207" s="69"/>
      <c r="AK207" s="69"/>
      <c r="AL207" s="69"/>
      <c r="AM207" s="69"/>
      <c r="AN207" s="69"/>
      <c r="AO207" s="69"/>
      <c r="AP207" s="66"/>
      <c r="AQ207" s="64" t="str">
        <f ca="1">IF(ALL_02FEB2024[[#This Row],[Days to Contract End]]&lt;=90,"R",IF(AND(ALL_02FEB2024[[#This Row],[Days to Contract End]]&lt;180),"A","G"))</f>
        <v>R</v>
      </c>
      <c r="AR207" s="70" t="s">
        <v>233</v>
      </c>
    </row>
    <row r="208" spans="2:44" ht="45">
      <c r="B208" s="147" t="s">
        <v>364</v>
      </c>
      <c r="C208" s="71">
        <f>IFERROR(VLOOKUP(B208,'QB Consolidated Contacts'!$A$1:$F$333,6),"-")</f>
        <v>0</v>
      </c>
      <c r="D208" s="208"/>
      <c r="E208" s="62" t="s">
        <v>158</v>
      </c>
      <c r="F208" s="62" t="s">
        <v>175</v>
      </c>
      <c r="G208" s="62"/>
      <c r="H208" s="143" t="s">
        <v>365</v>
      </c>
      <c r="I208" s="54"/>
      <c r="J208" s="54"/>
      <c r="K208" s="54"/>
      <c r="L208" s="31"/>
      <c r="M208" s="31"/>
      <c r="N208" s="31"/>
      <c r="O208" s="55"/>
      <c r="P208" s="55"/>
      <c r="Q208" s="77"/>
      <c r="R208" s="77"/>
      <c r="S208" s="56"/>
      <c r="T208" s="63"/>
      <c r="U208" s="64"/>
      <c r="V208" s="63">
        <f>IFERROR(EDATE(T208,U208),"")</f>
        <v>0</v>
      </c>
      <c r="W208" s="64">
        <f ca="1">IFERROR(V208-TODAY(),"")</f>
        <v>-46093</v>
      </c>
      <c r="X208" s="65"/>
      <c r="Y208" s="65"/>
      <c r="Z208" s="67"/>
      <c r="AA208" s="73"/>
      <c r="AB208" s="67"/>
      <c r="AC208" s="67"/>
      <c r="AD208" s="67"/>
      <c r="AE208" s="67"/>
      <c r="AF208" s="66"/>
      <c r="AG208" s="66"/>
      <c r="AH208" s="69"/>
      <c r="AI208" s="69"/>
      <c r="AJ208" s="69"/>
      <c r="AK208" s="69"/>
      <c r="AL208" s="69"/>
      <c r="AM208" s="69"/>
      <c r="AN208" s="69"/>
      <c r="AO208" s="69"/>
      <c r="AP208" s="66"/>
      <c r="AQ208" s="64" t="str">
        <f ca="1">IF(ALL_02FEB2024[[#This Row],[Days to Contract End]]&lt;=90,"R",IF(AND(ALL_02FEB2024[[#This Row],[Days to Contract End]]&lt;180),"A","G"))</f>
        <v>R</v>
      </c>
      <c r="AR208" s="70"/>
    </row>
    <row r="209" spans="2:44" ht="45">
      <c r="B209" s="147" t="s">
        <v>230</v>
      </c>
      <c r="C209" s="71">
        <f>IFERROR(VLOOKUP(B209,'QB Consolidated Contacts'!$A$1:$F$333,6),"-")</f>
        <v>0</v>
      </c>
      <c r="D209" s="208" t="s">
        <v>132</v>
      </c>
      <c r="E209" s="62" t="s">
        <v>158</v>
      </c>
      <c r="F209" s="62" t="s">
        <v>175</v>
      </c>
      <c r="G209" s="62"/>
      <c r="H209" s="144" t="s">
        <v>576</v>
      </c>
      <c r="I209" s="54" t="s">
        <v>39</v>
      </c>
      <c r="J209" s="54" t="s">
        <v>39</v>
      </c>
      <c r="K209" s="54" t="s">
        <v>315</v>
      </c>
      <c r="L209" s="31" t="s">
        <v>51</v>
      </c>
      <c r="M209" s="31"/>
      <c r="N209" s="31"/>
      <c r="O209" s="55"/>
      <c r="P209" s="55"/>
      <c r="Q209" s="77"/>
      <c r="R209" s="77"/>
      <c r="S209" s="56"/>
      <c r="T209" s="63">
        <v>45194</v>
      </c>
      <c r="U209" s="64" t="s">
        <v>182</v>
      </c>
      <c r="V209" s="63" t="str">
        <f>IFERROR(EDATE(T209,U209),"")</f>
        <v/>
      </c>
      <c r="W209" s="64" t="str">
        <f ca="1">IFERROR(V209-TODAY(),"")</f>
        <v/>
      </c>
      <c r="X209" s="65"/>
      <c r="Y209" s="65"/>
      <c r="Z209" s="67"/>
      <c r="AA209" s="73"/>
      <c r="AB209" s="67"/>
      <c r="AC209" s="67"/>
      <c r="AD209" s="67"/>
      <c r="AE209" s="67"/>
      <c r="AF209" s="66"/>
      <c r="AG209" s="66"/>
      <c r="AH209" s="69"/>
      <c r="AI209" s="69"/>
      <c r="AJ209" s="69"/>
      <c r="AK209" s="69"/>
      <c r="AL209" s="69"/>
      <c r="AM209" s="69"/>
      <c r="AN209" s="69"/>
      <c r="AO209" s="69"/>
      <c r="AP209" s="66"/>
      <c r="AQ209" s="64" t="str">
        <f ca="1">IF(ALL_02FEB2024[[#This Row],[Days to Contract End]]&lt;=90,"R",IF(AND(ALL_02FEB2024[[#This Row],[Days to Contract End]]&lt;180),"A","G"))</f>
        <v>G</v>
      </c>
      <c r="AR209" s="70"/>
    </row>
    <row r="210" spans="2:44" ht="45">
      <c r="B210" s="147" t="s">
        <v>230</v>
      </c>
      <c r="C210" s="71">
        <f>IFERROR(VLOOKUP(B210,'QB Consolidated Contacts'!$A$1:$F$333,6),"-")</f>
        <v>0</v>
      </c>
      <c r="D210" s="208" t="s">
        <v>132</v>
      </c>
      <c r="E210" s="62" t="s">
        <v>158</v>
      </c>
      <c r="F210" s="62" t="s">
        <v>288</v>
      </c>
      <c r="G210" s="62"/>
      <c r="H210" s="142" t="s">
        <v>288</v>
      </c>
      <c r="I210" s="54" t="s">
        <v>39</v>
      </c>
      <c r="J210" s="54" t="s">
        <v>39</v>
      </c>
      <c r="K210" s="54" t="s">
        <v>315</v>
      </c>
      <c r="L210" s="31" t="s">
        <v>51</v>
      </c>
      <c r="M210" s="31"/>
      <c r="N210" s="99">
        <v>1004340</v>
      </c>
      <c r="O210" s="55" t="s">
        <v>290</v>
      </c>
      <c r="P210" s="55"/>
      <c r="Q210" s="77"/>
      <c r="R210" s="77"/>
      <c r="S210" s="56"/>
      <c r="T210" s="63">
        <v>45017</v>
      </c>
      <c r="U210" s="64">
        <v>12</v>
      </c>
      <c r="V210" s="63">
        <f t="shared" si="15"/>
        <v>45383</v>
      </c>
      <c r="W210" s="64">
        <f t="shared" ca="1" si="14"/>
        <v>-710</v>
      </c>
      <c r="X210" s="65"/>
      <c r="Y210" s="65"/>
      <c r="Z210" s="67" t="s">
        <v>48</v>
      </c>
      <c r="AA210" s="67" t="s">
        <v>48</v>
      </c>
      <c r="AB210" s="67"/>
      <c r="AC210" s="67"/>
      <c r="AD210" s="67" t="s">
        <v>48</v>
      </c>
      <c r="AE210" s="67"/>
      <c r="AF210" s="66" t="s">
        <v>48</v>
      </c>
      <c r="AG210" s="66" t="s">
        <v>48</v>
      </c>
      <c r="AH210" s="69"/>
      <c r="AI210" s="69"/>
      <c r="AJ210" s="69"/>
      <c r="AK210" s="69"/>
      <c r="AL210" s="69"/>
      <c r="AM210" s="69"/>
      <c r="AN210" s="69"/>
      <c r="AO210" s="69"/>
      <c r="AP210" s="66" t="s">
        <v>48</v>
      </c>
      <c r="AQ210" s="64" t="str">
        <f ca="1">IF(ALL_02FEB2024[[#This Row],[Days to Contract End]]&lt;=90,"R",IF(AND(ALL_02FEB2024[[#This Row],[Days to Contract End]]&lt;180),"A","G"))</f>
        <v>R</v>
      </c>
      <c r="AR210" s="70"/>
    </row>
    <row r="211" spans="2:44" ht="30">
      <c r="B211" s="147" t="s">
        <v>178</v>
      </c>
      <c r="C211" s="71">
        <f>IFERROR(VLOOKUP(B211,'QB Consolidated Contacts'!$A$1:$F$333,6),"-")</f>
        <v>0</v>
      </c>
      <c r="D211" s="208" t="s">
        <v>132</v>
      </c>
      <c r="E211" s="62" t="s">
        <v>320</v>
      </c>
      <c r="F211" s="62" t="s">
        <v>288</v>
      </c>
      <c r="G211" s="62"/>
      <c r="H211" s="142" t="s">
        <v>499</v>
      </c>
      <c r="I211" s="54" t="s">
        <v>39</v>
      </c>
      <c r="J211" s="54" t="s">
        <v>39</v>
      </c>
      <c r="K211" s="54" t="s">
        <v>315</v>
      </c>
      <c r="L211" s="31" t="s">
        <v>42</v>
      </c>
      <c r="M211" s="31"/>
      <c r="N211" s="31"/>
      <c r="O211" s="55"/>
      <c r="P211" s="55"/>
      <c r="Q211" s="77"/>
      <c r="R211" s="77"/>
      <c r="S211" s="56" t="s">
        <v>500</v>
      </c>
      <c r="T211" s="63">
        <v>45068</v>
      </c>
      <c r="U211" s="64" t="s">
        <v>500</v>
      </c>
      <c r="V211" s="63" t="str">
        <f t="shared" ref="V211:V215" si="16">IFERROR(EDATE(T211,U211),"")</f>
        <v/>
      </c>
      <c r="W211" s="64" t="str">
        <f t="shared" ref="W211:W215" ca="1" si="17">IFERROR(V211-TODAY(),"")</f>
        <v/>
      </c>
      <c r="X211" s="65"/>
      <c r="Y211" s="65"/>
      <c r="Z211" s="67"/>
      <c r="AA211" s="67"/>
      <c r="AB211" s="67"/>
      <c r="AC211" s="67"/>
      <c r="AD211" s="67"/>
      <c r="AE211" s="67"/>
      <c r="AF211" s="66"/>
      <c r="AG211" s="66"/>
      <c r="AH211" s="69"/>
      <c r="AI211" s="69"/>
      <c r="AJ211" s="69"/>
      <c r="AK211" s="69"/>
      <c r="AL211" s="69"/>
      <c r="AM211" s="69"/>
      <c r="AN211" s="69"/>
      <c r="AO211" s="69"/>
      <c r="AP211" s="66"/>
      <c r="AQ211" s="64" t="str">
        <f ca="1">IF(ALL_02FEB2024[[#This Row],[Days to Contract End]]&lt;=90,"R",IF(AND(ALL_02FEB2024[[#This Row],[Days to Contract End]]&lt;180),"A","G"))</f>
        <v>G</v>
      </c>
      <c r="AR211" s="70"/>
    </row>
    <row r="212" spans="2:44" ht="30">
      <c r="B212" s="147" t="s">
        <v>148</v>
      </c>
      <c r="C212" s="71">
        <f>IFERROR(VLOOKUP(B212,'QB Consolidated Contacts'!$A$1:$F$333,6),"-")</f>
        <v>0</v>
      </c>
      <c r="D212" s="208" t="s">
        <v>132</v>
      </c>
      <c r="E212" s="62" t="s">
        <v>158</v>
      </c>
      <c r="F212" s="62" t="s">
        <v>175</v>
      </c>
      <c r="G212" s="62" t="s">
        <v>630</v>
      </c>
      <c r="H212" s="142" t="s">
        <v>463</v>
      </c>
      <c r="I212" s="54" t="s">
        <v>39</v>
      </c>
      <c r="J212" s="54" t="s">
        <v>39</v>
      </c>
      <c r="K212" s="54" t="s">
        <v>315</v>
      </c>
      <c r="L212" s="31" t="s">
        <v>42</v>
      </c>
      <c r="M212" s="31"/>
      <c r="N212" s="31" t="s">
        <v>144</v>
      </c>
      <c r="O212" s="55"/>
      <c r="P212" s="55"/>
      <c r="Q212" s="77"/>
      <c r="R212" s="77"/>
      <c r="S212" s="56" t="s">
        <v>479</v>
      </c>
      <c r="T212" s="63"/>
      <c r="U212" s="64"/>
      <c r="V212" s="63">
        <f t="shared" si="16"/>
        <v>0</v>
      </c>
      <c r="W212" s="64">
        <f t="shared" ca="1" si="17"/>
        <v>-46093</v>
      </c>
      <c r="X212" s="65"/>
      <c r="Y212" s="65"/>
      <c r="Z212" s="67"/>
      <c r="AA212" s="67"/>
      <c r="AB212" s="67"/>
      <c r="AC212" s="67"/>
      <c r="AD212" s="67"/>
      <c r="AE212" s="67"/>
      <c r="AF212" s="66"/>
      <c r="AG212" s="66"/>
      <c r="AH212" s="69"/>
      <c r="AI212" s="69"/>
      <c r="AJ212" s="69"/>
      <c r="AK212" s="69"/>
      <c r="AL212" s="69"/>
      <c r="AM212" s="69"/>
      <c r="AN212" s="69"/>
      <c r="AO212" s="69"/>
      <c r="AP212" s="66"/>
      <c r="AQ212" s="64" t="str">
        <f ca="1">IF(ALL_02FEB2024[[#This Row],[Days to Contract End]]&lt;=90,"R",IF(AND(ALL_02FEB2024[[#This Row],[Days to Contract End]]&lt;180),"A","G"))</f>
        <v>R</v>
      </c>
      <c r="AR212" s="70" t="s">
        <v>644</v>
      </c>
    </row>
    <row r="213" spans="2:44">
      <c r="B213" s="147" t="s">
        <v>148</v>
      </c>
      <c r="C213" s="71">
        <f>IFERROR(VLOOKUP(B213,'QB Consolidated Contacts'!$A$1:$F$333,6),"-")</f>
        <v>0</v>
      </c>
      <c r="D213" s="208"/>
      <c r="E213" s="62" t="s">
        <v>43</v>
      </c>
      <c r="F213" s="62" t="s">
        <v>44</v>
      </c>
      <c r="G213" s="62"/>
      <c r="H213" s="142" t="s">
        <v>149</v>
      </c>
      <c r="I213" s="54" t="s">
        <v>39</v>
      </c>
      <c r="J213" s="54" t="s">
        <v>39</v>
      </c>
      <c r="K213" s="54" t="s">
        <v>315</v>
      </c>
      <c r="L213" s="31" t="s">
        <v>42</v>
      </c>
      <c r="M213" s="31"/>
      <c r="N213" s="31"/>
      <c r="O213" s="55"/>
      <c r="P213" s="55"/>
      <c r="Q213" s="77"/>
      <c r="R213" s="77"/>
      <c r="S213" s="56"/>
      <c r="T213" s="63">
        <v>45161</v>
      </c>
      <c r="U213" s="64" t="s">
        <v>46</v>
      </c>
      <c r="V213" s="63" t="str">
        <f t="shared" si="16"/>
        <v/>
      </c>
      <c r="W213" s="64" t="str">
        <f t="shared" ca="1" si="17"/>
        <v/>
      </c>
      <c r="X213" s="65"/>
      <c r="Y213" s="65"/>
      <c r="Z213" s="67"/>
      <c r="AA213" s="67"/>
      <c r="AB213" s="67"/>
      <c r="AC213" s="67"/>
      <c r="AD213" s="67"/>
      <c r="AE213" s="67"/>
      <c r="AF213" s="66"/>
      <c r="AG213" s="66"/>
      <c r="AH213" s="69"/>
      <c r="AI213" s="69"/>
      <c r="AJ213" s="69"/>
      <c r="AK213" s="69"/>
      <c r="AL213" s="69"/>
      <c r="AM213" s="69"/>
      <c r="AN213" s="69"/>
      <c r="AO213" s="69"/>
      <c r="AP213" s="66"/>
      <c r="AQ213" s="64" t="str">
        <f ca="1">IF(ALL_02FEB2024[[#This Row],[Days to Contract End]]&lt;=90,"R",IF(AND(ALL_02FEB2024[[#This Row],[Days to Contract End]]&lt;180),"A","G"))</f>
        <v>G</v>
      </c>
      <c r="AR213" s="70"/>
    </row>
    <row r="214" spans="2:44">
      <c r="B214" s="147" t="s">
        <v>148</v>
      </c>
      <c r="C214" s="71">
        <f>IFERROR(VLOOKUP(B214,'QB Consolidated Contacts'!$A$1:$F$333,6),"-")</f>
        <v>0</v>
      </c>
      <c r="D214" s="208"/>
      <c r="E214" s="62" t="s">
        <v>66</v>
      </c>
      <c r="F214" s="62" t="s">
        <v>44</v>
      </c>
      <c r="G214" s="62"/>
      <c r="H214" s="144" t="s">
        <v>150</v>
      </c>
      <c r="I214" s="54" t="s">
        <v>39</v>
      </c>
      <c r="J214" s="54" t="s">
        <v>39</v>
      </c>
      <c r="K214" s="54" t="s">
        <v>315</v>
      </c>
      <c r="L214" s="31" t="s">
        <v>42</v>
      </c>
      <c r="M214" s="31"/>
      <c r="N214" s="31"/>
      <c r="O214" s="55"/>
      <c r="P214" s="55"/>
      <c r="Q214" s="77"/>
      <c r="R214" s="77"/>
      <c r="S214" s="56"/>
      <c r="T214" s="63">
        <v>45161</v>
      </c>
      <c r="U214" s="64">
        <v>24</v>
      </c>
      <c r="V214" s="63">
        <f t="shared" si="16"/>
        <v>45892</v>
      </c>
      <c r="W214" s="64">
        <f t="shared" ca="1" si="17"/>
        <v>-201</v>
      </c>
      <c r="X214" s="65"/>
      <c r="Y214" s="65"/>
      <c r="Z214" s="67"/>
      <c r="AA214" s="67"/>
      <c r="AB214" s="67"/>
      <c r="AC214" s="67"/>
      <c r="AD214" s="67"/>
      <c r="AE214" s="67"/>
      <c r="AF214" s="66"/>
      <c r="AG214" s="66"/>
      <c r="AH214" s="69"/>
      <c r="AI214" s="69"/>
      <c r="AJ214" s="69"/>
      <c r="AK214" s="69"/>
      <c r="AL214" s="69"/>
      <c r="AM214" s="69"/>
      <c r="AN214" s="69"/>
      <c r="AO214" s="69"/>
      <c r="AP214" s="66"/>
      <c r="AQ214" s="64" t="str">
        <f ca="1">IF(ALL_02FEB2024[[#This Row],[Days to Contract End]]&lt;=90,"R",IF(AND(ALL_02FEB2024[[#This Row],[Days to Contract End]]&lt;180),"A","G"))</f>
        <v>R</v>
      </c>
      <c r="AR214" s="70"/>
    </row>
    <row r="215" spans="2:44" ht="30">
      <c r="B215" s="147" t="s">
        <v>521</v>
      </c>
      <c r="C215" s="71">
        <f>IFERROR(VLOOKUP(B215,'QB Consolidated Contacts'!$A$1:$F$333,6),"-")</f>
        <v>0</v>
      </c>
      <c r="D215" s="208"/>
      <c r="E215" s="62" t="s">
        <v>158</v>
      </c>
      <c r="F215" s="62"/>
      <c r="G215" s="62"/>
      <c r="H215" s="144" t="s">
        <v>522</v>
      </c>
      <c r="I215" s="54" t="s">
        <v>39</v>
      </c>
      <c r="J215" s="54" t="s">
        <v>39</v>
      </c>
      <c r="K215" s="54" t="s">
        <v>315</v>
      </c>
      <c r="L215" s="31" t="s">
        <v>42</v>
      </c>
      <c r="M215" s="31"/>
      <c r="N215" s="31"/>
      <c r="O215" s="55"/>
      <c r="P215" s="55"/>
      <c r="Q215" s="77"/>
      <c r="R215" s="77"/>
      <c r="S215" s="56">
        <v>1538</v>
      </c>
      <c r="T215" s="63">
        <v>45146</v>
      </c>
      <c r="U215" s="64" t="s">
        <v>144</v>
      </c>
      <c r="V215" s="63" t="str">
        <f t="shared" si="16"/>
        <v/>
      </c>
      <c r="W215" s="64" t="str">
        <f t="shared" ca="1" si="17"/>
        <v/>
      </c>
      <c r="X215" s="65"/>
      <c r="Y215" s="65"/>
      <c r="Z215" s="67"/>
      <c r="AA215" s="67"/>
      <c r="AB215" s="67"/>
      <c r="AC215" s="67"/>
      <c r="AD215" s="67"/>
      <c r="AE215" s="67"/>
      <c r="AF215" s="66"/>
      <c r="AG215" s="66"/>
      <c r="AH215" s="69"/>
      <c r="AI215" s="69"/>
      <c r="AJ215" s="69"/>
      <c r="AK215" s="69"/>
      <c r="AL215" s="69"/>
      <c r="AM215" s="69"/>
      <c r="AN215" s="69"/>
      <c r="AO215" s="69"/>
      <c r="AP215" s="66"/>
      <c r="AQ215" s="64" t="str">
        <f ca="1">IF(ALL_02FEB2024[[#This Row],[Days to Contract End]]&lt;=90,"R",IF(AND(ALL_02FEB2024[[#This Row],[Days to Contract End]]&lt;180),"A","G"))</f>
        <v>G</v>
      </c>
      <c r="AR215" s="70"/>
    </row>
    <row r="216" spans="2:44">
      <c r="B216" s="147"/>
      <c r="C216" s="71" t="str">
        <f>IFERROR(VLOOKUP(B216,'QB Consolidated Contacts'!$A$1:$F$333,6),"-")</f>
        <v>-</v>
      </c>
      <c r="D216" s="208"/>
      <c r="E216" s="62"/>
      <c r="F216" s="62"/>
      <c r="G216" s="62"/>
      <c r="H216" s="144"/>
      <c r="I216" s="54"/>
      <c r="J216" s="54"/>
      <c r="K216" s="54"/>
      <c r="L216" s="31"/>
      <c r="M216" s="31"/>
      <c r="N216" s="31"/>
      <c r="O216" s="55"/>
      <c r="P216" s="55"/>
      <c r="Q216" s="77"/>
      <c r="R216" s="77"/>
      <c r="S216" s="56"/>
      <c r="T216" s="63"/>
      <c r="U216" s="64"/>
      <c r="V216" s="63">
        <f>IFERROR(EDATE(T216,U216),"")</f>
        <v>0</v>
      </c>
      <c r="W216" s="64">
        <f ca="1">IFERROR(V216-TODAY(),"")</f>
        <v>-46093</v>
      </c>
      <c r="X216" s="65"/>
      <c r="Y216" s="65"/>
      <c r="Z216" s="67"/>
      <c r="AA216" s="67"/>
      <c r="AB216" s="67"/>
      <c r="AC216" s="67"/>
      <c r="AD216" s="67"/>
      <c r="AE216" s="67"/>
      <c r="AF216" s="66"/>
      <c r="AG216" s="66"/>
      <c r="AH216" s="69"/>
      <c r="AI216" s="69"/>
      <c r="AJ216" s="69"/>
      <c r="AK216" s="69"/>
      <c r="AL216" s="69"/>
      <c r="AM216" s="69"/>
      <c r="AN216" s="69"/>
      <c r="AO216" s="69"/>
      <c r="AP216" s="66"/>
      <c r="AQ216" s="64" t="str">
        <f ca="1">IF(ALL_02FEB2024[[#This Row],[Days to Contract End]]&lt;=90,"R",IF(AND(ALL_02FEB2024[[#This Row],[Days to Contract End]]&lt;180),"A","G"))</f>
        <v>R</v>
      </c>
      <c r="AR216" s="70"/>
    </row>
    <row r="217" spans="2:44">
      <c r="B217" s="147"/>
      <c r="C217" s="71" t="str">
        <f>IFERROR(VLOOKUP(B217,'QB Consolidated Contacts'!$A$1:$F$333,6),"-")</f>
        <v>-</v>
      </c>
      <c r="D217" s="208"/>
      <c r="E217" s="62"/>
      <c r="F217" s="62"/>
      <c r="G217" s="62"/>
      <c r="H217" s="144"/>
      <c r="I217" s="54"/>
      <c r="J217" s="54"/>
      <c r="K217" s="54"/>
      <c r="L217" s="31"/>
      <c r="M217" s="31"/>
      <c r="N217" s="31"/>
      <c r="O217" s="55"/>
      <c r="P217" s="55"/>
      <c r="Q217" s="77"/>
      <c r="R217" s="77"/>
      <c r="S217" s="56"/>
      <c r="T217" s="63"/>
      <c r="U217" s="64"/>
      <c r="V217" s="63">
        <f>IFERROR(EDATE(T217,U217),"")</f>
        <v>0</v>
      </c>
      <c r="W217" s="64">
        <f ca="1">IFERROR(V217-TODAY(),"")</f>
        <v>-46093</v>
      </c>
      <c r="X217" s="65"/>
      <c r="Y217" s="65"/>
      <c r="Z217" s="67"/>
      <c r="AA217" s="67"/>
      <c r="AB217" s="67"/>
      <c r="AC217" s="67"/>
      <c r="AD217" s="67"/>
      <c r="AE217" s="67"/>
      <c r="AF217" s="66"/>
      <c r="AG217" s="66"/>
      <c r="AH217" s="69"/>
      <c r="AI217" s="69"/>
      <c r="AJ217" s="69"/>
      <c r="AK217" s="69"/>
      <c r="AL217" s="69"/>
      <c r="AM217" s="69"/>
      <c r="AN217" s="69"/>
      <c r="AO217" s="69"/>
      <c r="AP217" s="66"/>
      <c r="AQ217" s="64" t="str">
        <f ca="1">IF(ALL_02FEB2024[[#This Row],[Days to Contract End]]&lt;=90,"R",IF(AND(ALL_02FEB2024[[#This Row],[Days to Contract End]]&lt;180),"A","G"))</f>
        <v>R</v>
      </c>
      <c r="AR217" s="70"/>
    </row>
    <row r="218" spans="2:44" ht="30">
      <c r="B218" s="157" t="s">
        <v>237</v>
      </c>
      <c r="C218" s="104" t="str">
        <f>IFERROR(VLOOKUP(E218,'QB Consolidated Contacts'!A43:E374,5),"")</f>
        <v/>
      </c>
      <c r="D218" s="210"/>
      <c r="E218" s="105">
        <f>COUNTA(ALL_02FEB2024[Client])</f>
        <v>213</v>
      </c>
      <c r="F218" s="103"/>
      <c r="G218" s="103"/>
      <c r="H218" s="153"/>
      <c r="I218" s="74"/>
      <c r="J218" s="74"/>
      <c r="K218" s="74"/>
      <c r="L218" s="106"/>
      <c r="M218" s="106"/>
      <c r="N218" s="101"/>
      <c r="O218" s="101"/>
      <c r="P218" s="101"/>
      <c r="Q218" s="100"/>
      <c r="R218" s="100"/>
      <c r="S218" s="101"/>
      <c r="T218" s="107"/>
      <c r="U218" s="101"/>
      <c r="V218" s="101"/>
      <c r="W218" s="107"/>
      <c r="X218" s="107"/>
      <c r="Y218" s="107"/>
      <c r="Z218" s="107"/>
      <c r="AA218" s="108"/>
      <c r="AB218" s="107"/>
      <c r="AC218" s="107"/>
      <c r="AD218" s="107"/>
      <c r="AE218" s="107"/>
      <c r="AF218" s="107"/>
      <c r="AG218" s="101"/>
      <c r="AH218" s="109"/>
      <c r="AI218" s="109"/>
      <c r="AJ218" s="109"/>
      <c r="AK218" s="109"/>
      <c r="AL218" s="109"/>
      <c r="AM218" s="109"/>
      <c r="AN218" s="109"/>
      <c r="AO218" s="109"/>
      <c r="AP218" s="109"/>
      <c r="AQ218" s="109"/>
      <c r="AR218" s="110"/>
    </row>
    <row r="219" spans="2:44">
      <c r="C219" s="91" t="str">
        <f>IFERROR(VLOOKUP(B219,'QB Consolidated Contacts'!A44:E375,5),"")</f>
        <v/>
      </c>
    </row>
    <row r="220" spans="2:44">
      <c r="C220" s="91" t="str">
        <f>IFERROR(VLOOKUP(B220,'QB Consolidated Contacts'!A45:E376,5),"")</f>
        <v/>
      </c>
      <c r="S220" s="133"/>
    </row>
    <row r="228" spans="8:8">
      <c r="H228" s="140" t="s">
        <v>238</v>
      </c>
    </row>
  </sheetData>
  <conditionalFormatting sqref="V1:V217 AA218:AA1048576">
    <cfRule type="cellIs" dxfId="84" priority="11" operator="equal">
      <formula>0</formula>
    </cfRule>
  </conditionalFormatting>
  <conditionalFormatting sqref="W1:W217 AB218:AF1048576">
    <cfRule type="cellIs" dxfId="83" priority="12" operator="lessThan">
      <formula>-3000</formula>
    </cfRule>
  </conditionalFormatting>
  <conditionalFormatting sqref="W3:W217">
    <cfRule type="cellIs" dxfId="82" priority="7" operator="between">
      <formula>-4000</formula>
      <formula>90</formula>
    </cfRule>
  </conditionalFormatting>
  <conditionalFormatting sqref="Y3:AP217">
    <cfRule type="expression" dxfId="81" priority="13">
      <formula>$X3=$AU$2</formula>
    </cfRule>
  </conditionalFormatting>
  <conditionalFormatting sqref="AQ1:AQ1048576">
    <cfRule type="cellIs" dxfId="80" priority="1" operator="equal">
      <formula>"R"</formula>
    </cfRule>
  </conditionalFormatting>
  <conditionalFormatting sqref="AQ3:AQ217">
    <cfRule type="cellIs" dxfId="79" priority="2" operator="equal">
      <formula>"A"</formula>
    </cfRule>
    <cfRule type="cellIs" dxfId="78" priority="3" operator="equal">
      <formula>"G"</formula>
    </cfRule>
  </conditionalFormatting>
  <dataValidations count="6">
    <dataValidation type="list" allowBlank="1" showInputMessage="1" showErrorMessage="1" sqref="S218:S1048576">
      <formula1>"Daily, Weekly, Biweekly, Monthly, Quarerly, Yearly, Custom, Block of Hours"</formula1>
    </dataValidation>
    <dataValidation type="list" allowBlank="1" showInputMessage="1" showErrorMessage="1" sqref="X3:X217">
      <formula1>"-,Yes,No"</formula1>
    </dataValidation>
    <dataValidation type="list" allowBlank="1" showInputMessage="1" showErrorMessage="1" sqref="O3:O217">
      <formula1>"-,Daily, Weekly, Biweekly, Monthly, Quarerly, Yearly, Custom, Block of Hours"</formula1>
    </dataValidation>
    <dataValidation type="list" allowBlank="1" showInputMessage="1" showErrorMessage="1" sqref="L3:L217">
      <formula1>"VNA, VT"</formula1>
    </dataValidation>
    <dataValidation type="list" allowBlank="1" showInputMessage="1" showErrorMessage="1" sqref="Y3:Y217">
      <formula1>"Certificate Holder, Additionally Insured, Waiver of Subrogation, All"</formula1>
    </dataValidation>
    <dataValidation type="list" allowBlank="1" showInputMessage="1" showErrorMessage="1" sqref="I3:J1048576">
      <formula1>"Yes, No"</formula1>
    </dataValidation>
  </dataValidations>
  <hyperlinks>
    <hyperlink ref="H3" r:id="rId1" display="MSA Signed Copy"/>
    <hyperlink ref="H14" r:id="rId2"/>
    <hyperlink ref="H15" r:id="rId3" display="On Demand Consulting"/>
    <hyperlink ref="H13" r:id="rId4" display="FBI Performance &amp; Optimization"/>
    <hyperlink ref="H10" r:id="rId5" display="Block of Hours 520"/>
    <hyperlink ref="H16" r:id="rId6"/>
    <hyperlink ref="H17" r:id="rId7"/>
    <hyperlink ref="H23" r:id="rId8" display="Not signed "/>
    <hyperlink ref="H47" r:id="rId9" display="MSA Signed Copy"/>
    <hyperlink ref="H49" r:id="rId10"/>
    <hyperlink ref="H59" r:id="rId11"/>
    <hyperlink ref="H28" r:id="rId12" display="BMW VNA MSA - DW 040920 V1"/>
    <hyperlink ref="H32" r:id="rId13"/>
    <hyperlink ref="H57" r:id="rId14" display="https://viscositynorthamerica.sharepoint.com/sites/VNA-Sales/Shared%20Documents/General/Contracts/Computex/Agreements/03-02-2021_Computex_Master_Contracting_Agreement_-_Viscosity_Redlines_-_Computex_Reply.pdf"/>
    <hyperlink ref="H68" r:id="rId15" display="Consulting Service Agreement_CSA_Signed"/>
    <hyperlink ref="H76" r:id="rId16" display="MSA Signed Copy"/>
    <hyperlink ref="H77" r:id="rId17"/>
    <hyperlink ref="H79" r:id="rId18"/>
    <hyperlink ref="H80" r:id="rId19"/>
    <hyperlink ref="H93" r:id="rId20" display="https://viscositynorthamerica.sharepoint.com/sites/VNA-Sales/Shared%20Documents/General/Contracts/HRL/5%20-%20Agreements/Signed/Consultant%20Agreement%20Viscosity%20North%20America%20211033-HC%20-%20FS.pdf"/>
    <hyperlink ref="H94" r:id="rId21" display="Migration And Upgrade (not signed)"/>
    <hyperlink ref="H96" r:id="rId22"/>
    <hyperlink ref="H99" r:id="rId23"/>
    <hyperlink ref="H95" r:id="rId24"/>
    <hyperlink ref="H106" r:id="rId25"/>
    <hyperlink ref="H112" r:id="rId26"/>
    <hyperlink ref="H118" r:id="rId27"/>
    <hyperlink ref="H122" r:id="rId28"/>
    <hyperlink ref="H119" r:id="rId29" display="Oracle Security Assessment"/>
    <hyperlink ref="H120" r:id="rId30"/>
    <hyperlink ref="H121" r:id="rId31" display="Bucket of Hours for IO Performance Review"/>
    <hyperlink ref="H124" r:id="rId32"/>
    <hyperlink ref="H125" r:id="rId33" display="MSA Not Signed"/>
    <hyperlink ref="H131" r:id="rId34"/>
    <hyperlink ref="H137" r:id="rId35"/>
    <hyperlink ref="H138" r:id="rId36"/>
    <hyperlink ref="H139" r:id="rId37"/>
    <hyperlink ref="H140" r:id="rId38" display="Signed"/>
    <hyperlink ref="H142" r:id="rId39"/>
    <hyperlink ref="H141" r:id="rId40"/>
    <hyperlink ref="H144" r:id="rId41" display="Signed"/>
    <hyperlink ref="H146" r:id="rId42"/>
    <hyperlink ref="H150" r:id="rId43"/>
    <hyperlink ref="H151" r:id="rId44"/>
    <hyperlink ref="H159" r:id="rId45"/>
    <hyperlink ref="H160" r:id="rId46" display="Oracle Reports Modernization Phase 6"/>
    <hyperlink ref="E160" r:id="rId47" display="SOW Professional Services"/>
    <hyperlink ref="H164" r:id="rId48"/>
    <hyperlink ref="H167" r:id="rId49"/>
    <hyperlink ref="H202" r:id="rId50"/>
    <hyperlink ref="H203" r:id="rId51"/>
    <hyperlink ref="H111" r:id="rId52" display="MSA Not Signed"/>
    <hyperlink ref="H191" r:id="rId53"/>
    <hyperlink ref="H104" r:id="rId54"/>
    <hyperlink ref="N30" r:id="rId55"/>
    <hyperlink ref="N64" r:id="rId56" display="../../Contracts/DISD/6 - Accounting &amp; Purchase Orders/PO 862363- Viscosity.License Assessment 2022.pdf"/>
    <hyperlink ref="N71" r:id="rId57" display="../../Contracts/Dominion Energy/6 - Accounting &amp; Purchase Orders/50162702 DEQP Mobile Pipeline- Staff Aug-Purchase Order.Executed PO6MOS..PDF"/>
    <hyperlink ref="N72" r:id="rId58" display="../../Contracts/Dominion Energy/6 - Accounting &amp; Purchase Orders/50162797 Viscosity Change Order 1.VNA SIGNED.PDF"/>
    <hyperlink ref="H171" r:id="rId59"/>
    <hyperlink ref="H172" r:id="rId60"/>
    <hyperlink ref="H34" r:id="rId61"/>
    <hyperlink ref="H25" r:id="rId62" display="https://viscositynorthamerica.sharepoint.com/sites/VNA-Sales/Shared%20Documents/General/Contracts/Athenian/1%20-%20Agreements/VNA%20-Athenian%20-MNDA%20November%202022.doc.pdf"/>
    <hyperlink ref="H36" r:id="rId63"/>
    <hyperlink ref="H33" r:id="rId64"/>
    <hyperlink ref="H30" r:id="rId65"/>
    <hyperlink ref="H45" r:id="rId66" display="Linux/Solaris &amp; Oda Support And Managed Services"/>
    <hyperlink ref="H132" r:id="rId67"/>
    <hyperlink ref="H127" r:id="rId68"/>
    <hyperlink ref="H130" r:id="rId69"/>
    <hyperlink ref="H74" r:id="rId70"/>
    <hyperlink ref="H73" r:id="rId71"/>
    <hyperlink ref="H110" r:id="rId72"/>
    <hyperlink ref="H108" r:id="rId73"/>
    <hyperlink ref="H109" r:id="rId74"/>
    <hyperlink ref="H115" r:id="rId75" display="Temporary NDA"/>
    <hyperlink ref="H38" r:id="rId76"/>
    <hyperlink ref="H143" r:id="rId77"/>
    <hyperlink ref="H174" r:id="rId78"/>
    <hyperlink ref="H175" r:id="rId79"/>
    <hyperlink ref="H176" r:id="rId80"/>
    <hyperlink ref="H180" r:id="rId81"/>
    <hyperlink ref="H181" r:id="rId82"/>
    <hyperlink ref="H186" r:id="rId83"/>
    <hyperlink ref="H201" r:id="rId84"/>
    <hyperlink ref="H196" r:id="rId85"/>
    <hyperlink ref="H197" r:id="rId86"/>
    <hyperlink ref="H208" r:id="rId87" display="Database Upgrades Infra-build"/>
    <hyperlink ref="H207" r:id="rId88"/>
    <hyperlink ref="H210" r:id="rId89"/>
    <hyperlink ref="H39" r:id="rId90"/>
    <hyperlink ref="H43" r:id="rId91"/>
    <hyperlink ref="H42" r:id="rId92"/>
    <hyperlink ref="N45" r:id="rId93" display="../../Contracts/Clario/3 - Accounting &amp; Purchase Orders/Viscosity_PO_550_101102037_01Nov22_US.pdf"/>
    <hyperlink ref="H85" r:id="rId94"/>
    <hyperlink ref="H86" r:id="rId95"/>
    <hyperlink ref="H101" r:id="rId96"/>
    <hyperlink ref="H100" r:id="rId97"/>
    <hyperlink ref="H173" r:id="rId98"/>
    <hyperlink ref="H192" r:id="rId99"/>
    <hyperlink ref="H193" r:id="rId100"/>
    <hyperlink ref="H37" r:id="rId101"/>
    <hyperlink ref="H35" r:id="rId102"/>
    <hyperlink ref="N210" r:id="rId103" display="../../Contracts/WWCT/6 - Accounting &amp; Purchase Orders/PO1004340 Viscosity Managed Services 2023.pdf"/>
    <hyperlink ref="H155" r:id="rId104"/>
    <hyperlink ref="H156" r:id="rId105"/>
    <hyperlink ref="H157" r:id="rId106"/>
    <hyperlink ref="H78" r:id="rId107"/>
    <hyperlink ref="H168" r:id="rId108"/>
    <hyperlink ref="N10" r:id="rId109" display="../../Contracts/ABC Financial/6 - Accounting &amp; Purchase Orders/Viscosity PO23-29200 2023-01-26.pdf"/>
    <hyperlink ref="H5" r:id="rId110"/>
    <hyperlink ref="H6" r:id="rId111"/>
    <hyperlink ref="H60" r:id="rId112"/>
    <hyperlink ref="N60" r:id="rId113"/>
    <hyperlink ref="H63" r:id="rId114" display="../../Contracts/DISD/5 - Accounting &amp; Purchase Orders/PO_102_922103_0_US.APEX RENEWAL.2023.pdf"/>
    <hyperlink ref="H195" r:id="rId115"/>
    <hyperlink ref="H91" r:id="rId116"/>
    <hyperlink ref="H92" r:id="rId117"/>
    <hyperlink ref="N143" r:id="rId118" display="../../Contracts/Oak Ridge National Laboratory/6 - Accounting &amp; Purchase Orders/PO.4000207399.2023.EXA PATCHING.UPGRADE.htm"/>
    <hyperlink ref="H158" r:id="rId119"/>
    <hyperlink ref="N177" r:id="rId120" location="USP00405042.pdf"/>
    <hyperlink ref="H177" r:id="rId121"/>
    <hyperlink ref="H194" r:id="rId122"/>
    <hyperlink ref="H90" r:id="rId123"/>
    <hyperlink ref="H179" r:id="rId124"/>
    <hyperlink ref="H147" r:id="rId125"/>
    <hyperlink ref="H148" r:id="rId126"/>
    <hyperlink ref="H22" r:id="rId127" display="Staff Augmentation"/>
    <hyperlink ref="H27" r:id="rId128" display="Data Input/Automation"/>
    <hyperlink ref="H24" r:id="rId129"/>
    <hyperlink ref="H133" r:id="rId130" display="https://viscositynorthamerica.sharepoint.com/sites/VNA-Sales/Shared%20Documents/General/Contracts/National%20Mango%20Board/3%20-%20SOWS/Signed%20SOWs/Viscosity%20North%20America_Mango%20Volume%20Inventory%20System%20Consultant%20Agreement%202021.pdf"/>
    <hyperlink ref="H40" r:id="rId131"/>
    <hyperlink ref="H41" r:id="rId132"/>
    <hyperlink ref="H66" r:id="rId133"/>
    <hyperlink ref="N130" r:id="rId134"/>
    <hyperlink ref="H26" r:id="rId135"/>
    <hyperlink ref="H56" r:id="rId136" display="https://viscositynorthamerica.sharepoint.com/sites/VNA-Sales/Shared%20Documents/General/Contracts/CAP/2%20-%20SOWs/2023/Viscosity%20SOW%202023%20for%20DB%20Migration-V1.0.docx"/>
    <hyperlink ref="H65" r:id="rId137"/>
    <hyperlink ref="H62" r:id="rId138"/>
    <hyperlink ref="H170" r:id="rId139" display="https://viscositynorthamerica.sharepoint.com/sites/VNA-Sales/Shared%20Documents/General/Contracts/Sanofi/2-%20SOW/Executed/Sanofi_SOW-InfrastructureAnalysis_20230511.docx.pdf"/>
    <hyperlink ref="H89" r:id="rId140"/>
    <hyperlink ref="H166" r:id="rId141"/>
    <hyperlink ref="H145" r:id="rId142"/>
    <hyperlink ref="H44" r:id="rId143"/>
    <hyperlink ref="H97" r:id="rId144"/>
    <hyperlink ref="H98" r:id="rId145" display="https://viscositynorthamerica.sharepoint.com/sites/VNA-Sales/Shared%20Documents/General/Contracts/IdenTrust/3%20-%20Accounting%20&amp;%20Purchase%20Orders/2023/IDENTRUST%20Performance%20Tuning%202023%20PO-20069.pdf"/>
    <hyperlink ref="H165" r:id="rId146"/>
    <hyperlink ref="H67" r:id="rId147"/>
    <hyperlink ref="H129" r:id="rId148" display="C:\Users\leisa\Viscosity North America, Inc\VNA- Sales - General\Contracts\MountainWest Pipeline\2 - SOWs\Executed\MOUNTAINWEST_PIPELINE.VNA.RETAINER.JUNE2023.docx.pdf"/>
    <hyperlink ref="H128" r:id="rId149"/>
    <hyperlink ref="H211" r:id="rId150"/>
    <hyperlink ref="H114" r:id="rId151"/>
    <hyperlink ref="H18" r:id="rId152"/>
    <hyperlink ref="H50" r:id="rId153"/>
    <hyperlink ref="H213" r:id="rId154"/>
    <hyperlink ref="H12" r:id="rId155"/>
    <hyperlink ref="H212" r:id="rId156"/>
    <hyperlink ref="H200" r:id="rId157"/>
    <hyperlink ref="H31" r:id="rId158"/>
    <hyperlink ref="H9" r:id="rId159"/>
    <hyperlink ref="H7" r:id="rId160"/>
    <hyperlink ref="H8" r:id="rId161"/>
    <hyperlink ref="H184" r:id="rId162"/>
    <hyperlink ref="H183" r:id="rId163"/>
    <hyperlink ref="H199" r:id="rId164"/>
    <hyperlink ref="H51" r:id="rId165"/>
    <hyperlink ref="H135" r:id="rId166"/>
    <hyperlink ref="H21" r:id="rId167"/>
    <hyperlink ref="H69" r:id="rId168"/>
    <hyperlink ref="H70" r:id="rId169"/>
    <hyperlink ref="E69" r:id="rId170"/>
    <hyperlink ref="E70" r:id="rId171"/>
    <hyperlink ref="H88" r:id="rId172"/>
    <hyperlink ref="H82" r:id="rId173"/>
    <hyperlink ref="H83" r:id="rId174"/>
    <hyperlink ref="H87" r:id="rId175"/>
    <hyperlink ref="H163" r:id="rId176"/>
    <hyperlink ref="H52" r:id="rId177" display="Viscosity AI -AP Solution-API implementation"/>
  </hyperlinks>
  <pageMargins left="0.7" right="0.7" top="0.75" bottom="0.75" header="0.3" footer="0.3"/>
  <pageSetup orientation="portrait" r:id="rId178"/>
  <legacyDrawing r:id="rId179"/>
  <tableParts count="1">
    <tablePart r:id="rId180"/>
  </tableParts>
  <extLst>
    <ext xmlns:x14="http://schemas.microsoft.com/office/spreadsheetml/2009/9/main" uri="{CCE6A557-97BC-4b89-ADB6-D9C93CAAB3DF}">
      <x14:dataValidations xmlns:xm="http://schemas.microsoft.com/office/excel/2006/main" count="4">
        <x14:dataValidation type="list" allowBlank="1" showInputMessage="1" showErrorMessage="1">
          <x14:formula1>
            <xm:f>'Settings &amp; Instructions'!$D$2:$D$6</xm:f>
          </x14:formula1>
          <xm:sqref>D1 D3:D1048576</xm:sqref>
        </x14:dataValidation>
        <x14:dataValidation type="list" allowBlank="1" showInputMessage="1" showErrorMessage="1">
          <x14:formula1>
            <xm:f>'Settings &amp; Instructions'!$E$2:$E$7</xm:f>
          </x14:formula1>
          <xm:sqref>K3:K217</xm:sqref>
        </x14:dataValidation>
        <x14:dataValidation type="list" allowBlank="1" showInputMessage="1" showErrorMessage="1">
          <x14:formula1>
            <xm:f>'Settings &amp; Instructions'!$A$2:$A$19</xm:f>
          </x14:formula1>
          <xm:sqref>E3:E217</xm:sqref>
        </x14:dataValidation>
        <x14:dataValidation type="list" allowBlank="1" showInputMessage="1" showErrorMessage="1">
          <x14:formula1>
            <xm:f>'Settings &amp; Instructions'!$C$2:$C$14</xm:f>
          </x14:formula1>
          <xm:sqref>G213:G217 G3 F3:F217</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D26"/>
  <sheetViews>
    <sheetView zoomScale="145" zoomScaleNormal="145" workbookViewId="0">
      <selection activeCell="C8" sqref="B8:C8"/>
    </sheetView>
  </sheetViews>
  <sheetFormatPr defaultRowHeight="15"/>
  <cols>
    <col min="1" max="1" width="3.7109375" customWidth="1"/>
    <col min="2" max="2" width="30.28515625" bestFit="1" customWidth="1"/>
    <col min="3" max="3" width="33.28515625" bestFit="1" customWidth="1"/>
  </cols>
  <sheetData>
    <row r="1" spans="1:3">
      <c r="A1" s="201" t="s">
        <v>645</v>
      </c>
    </row>
    <row r="2" spans="1:3">
      <c r="A2">
        <v>1</v>
      </c>
      <c r="B2" t="s">
        <v>646</v>
      </c>
      <c r="C2" s="202" t="s">
        <v>647</v>
      </c>
    </row>
    <row r="3" spans="1:3">
      <c r="A3">
        <v>2</v>
      </c>
      <c r="B3" t="s">
        <v>63</v>
      </c>
      <c r="C3" s="202" t="s">
        <v>647</v>
      </c>
    </row>
    <row r="4" spans="1:3">
      <c r="A4">
        <v>3</v>
      </c>
      <c r="B4" t="s">
        <v>94</v>
      </c>
      <c r="C4" s="202" t="s">
        <v>647</v>
      </c>
    </row>
    <row r="5" spans="1:3">
      <c r="A5">
        <v>4</v>
      </c>
      <c r="B5" t="s">
        <v>96</v>
      </c>
      <c r="C5" s="203" t="s">
        <v>648</v>
      </c>
    </row>
    <row r="6" spans="1:3">
      <c r="A6">
        <v>5</v>
      </c>
      <c r="B6" t="s">
        <v>649</v>
      </c>
      <c r="C6" s="202" t="s">
        <v>647</v>
      </c>
    </row>
    <row r="7" spans="1:3">
      <c r="A7">
        <v>6</v>
      </c>
      <c r="B7" t="s">
        <v>384</v>
      </c>
      <c r="C7" s="204" t="s">
        <v>650</v>
      </c>
    </row>
    <row r="8" spans="1:3">
      <c r="A8">
        <v>7</v>
      </c>
      <c r="B8" t="s">
        <v>102</v>
      </c>
      <c r="C8" s="202" t="s">
        <v>647</v>
      </c>
    </row>
    <row r="9" spans="1:3">
      <c r="A9">
        <v>8</v>
      </c>
      <c r="B9" t="s">
        <v>109</v>
      </c>
      <c r="C9" s="203" t="s">
        <v>651</v>
      </c>
    </row>
    <row r="10" spans="1:3">
      <c r="A10">
        <v>9</v>
      </c>
      <c r="B10" t="s">
        <v>111</v>
      </c>
      <c r="C10" s="204" t="s">
        <v>650</v>
      </c>
    </row>
    <row r="11" spans="1:3">
      <c r="A11">
        <v>10</v>
      </c>
      <c r="B11" t="s">
        <v>120</v>
      </c>
      <c r="C11" s="204" t="s">
        <v>650</v>
      </c>
    </row>
    <row r="12" spans="1:3">
      <c r="A12">
        <v>11</v>
      </c>
      <c r="B12" t="s">
        <v>126</v>
      </c>
      <c r="C12" s="203" t="s">
        <v>651</v>
      </c>
    </row>
    <row r="13" spans="1:3">
      <c r="A13">
        <v>12</v>
      </c>
      <c r="B13" t="s">
        <v>145</v>
      </c>
      <c r="C13" s="202" t="s">
        <v>647</v>
      </c>
    </row>
    <row r="14" spans="1:3">
      <c r="A14">
        <v>13</v>
      </c>
      <c r="B14" t="s">
        <v>652</v>
      </c>
      <c r="C14" s="202" t="s">
        <v>647</v>
      </c>
    </row>
    <row r="15" spans="1:3">
      <c r="A15">
        <v>14</v>
      </c>
      <c r="B15" t="s">
        <v>172</v>
      </c>
      <c r="C15" s="203" t="s">
        <v>651</v>
      </c>
    </row>
    <row r="16" spans="1:3">
      <c r="A16">
        <v>15</v>
      </c>
      <c r="B16" t="s">
        <v>178</v>
      </c>
      <c r="C16" s="203" t="s">
        <v>651</v>
      </c>
    </row>
    <row r="17" spans="1:4">
      <c r="A17">
        <v>16</v>
      </c>
      <c r="B17" t="s">
        <v>653</v>
      </c>
      <c r="C17" s="203" t="s">
        <v>651</v>
      </c>
    </row>
    <row r="18" spans="1:4">
      <c r="A18">
        <v>17</v>
      </c>
      <c r="B18" t="s">
        <v>515</v>
      </c>
      <c r="C18" s="204" t="s">
        <v>650</v>
      </c>
      <c r="D18" t="s">
        <v>654</v>
      </c>
    </row>
    <row r="19" spans="1:4">
      <c r="A19">
        <v>18</v>
      </c>
      <c r="B19" t="s">
        <v>655</v>
      </c>
      <c r="C19" s="202" t="s">
        <v>647</v>
      </c>
    </row>
    <row r="20" spans="1:4">
      <c r="A20">
        <v>19</v>
      </c>
      <c r="B20" t="s">
        <v>656</v>
      </c>
      <c r="C20" s="204" t="s">
        <v>650</v>
      </c>
    </row>
    <row r="21" spans="1:4">
      <c r="A21">
        <v>20</v>
      </c>
      <c r="B21" t="s">
        <v>534</v>
      </c>
      <c r="C21" s="204" t="s">
        <v>657</v>
      </c>
    </row>
    <row r="22" spans="1:4">
      <c r="A22">
        <v>21</v>
      </c>
      <c r="B22" t="s">
        <v>210</v>
      </c>
      <c r="C22" s="204" t="s">
        <v>650</v>
      </c>
    </row>
    <row r="23" spans="1:4">
      <c r="A23">
        <v>22</v>
      </c>
      <c r="B23" t="s">
        <v>218</v>
      </c>
      <c r="C23" s="204" t="s">
        <v>650</v>
      </c>
      <c r="D23" t="s">
        <v>658</v>
      </c>
    </row>
    <row r="24" spans="1:4">
      <c r="A24">
        <v>23</v>
      </c>
      <c r="B24" t="s">
        <v>222</v>
      </c>
      <c r="C24" s="204" t="s">
        <v>650</v>
      </c>
    </row>
    <row r="25" spans="1:4">
      <c r="A25">
        <v>24</v>
      </c>
      <c r="B25" t="s">
        <v>553</v>
      </c>
      <c r="C25" s="204" t="s">
        <v>650</v>
      </c>
    </row>
    <row r="26" spans="1:4">
      <c r="A26">
        <v>25</v>
      </c>
      <c r="B26" t="s">
        <v>659</v>
      </c>
      <c r="C26" s="202" t="s">
        <v>647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2:O228"/>
  <sheetViews>
    <sheetView showGridLines="0" workbookViewId="0">
      <selection activeCell="A4" sqref="A4"/>
    </sheetView>
  </sheetViews>
  <sheetFormatPr defaultRowHeight="15"/>
  <cols>
    <col min="1" max="1" width="45.85546875" bestFit="1" customWidth="1"/>
    <col min="2" max="2" width="16.42578125" style="124" customWidth="1"/>
    <col min="3" max="3" width="4.140625" style="124" bestFit="1" customWidth="1"/>
    <col min="4" max="4" width="5.42578125" style="124" customWidth="1"/>
    <col min="5" max="5" width="5.28515625" style="124" bestFit="1" customWidth="1"/>
    <col min="6" max="6" width="3.7109375" style="124" bestFit="1" customWidth="1"/>
    <col min="7" max="7" width="23.42578125" style="124" bestFit="1" customWidth="1"/>
    <col min="8" max="8" width="10.7109375" bestFit="1" customWidth="1"/>
    <col min="9" max="9" width="21.28515625" bestFit="1" customWidth="1"/>
    <col min="10" max="10" width="9" bestFit="1" customWidth="1"/>
    <col min="11" max="11" width="16" bestFit="1" customWidth="1"/>
    <col min="12" max="12" width="5.28515625" bestFit="1" customWidth="1"/>
    <col min="13" max="13" width="4" bestFit="1" customWidth="1"/>
    <col min="14" max="14" width="7" bestFit="1" customWidth="1"/>
    <col min="15" max="15" width="11.7109375" bestFit="1" customWidth="1"/>
    <col min="16" max="16" width="21.28515625" bestFit="1" customWidth="1"/>
    <col min="17" max="17" width="20.7109375" bestFit="1" customWidth="1"/>
    <col min="18" max="18" width="3.7109375" bestFit="1" customWidth="1"/>
    <col min="19" max="19" width="10.7109375" bestFit="1" customWidth="1"/>
    <col min="20" max="20" width="9.28515625" bestFit="1" customWidth="1"/>
    <col min="21" max="21" width="11.7109375" bestFit="1" customWidth="1"/>
    <col min="22" max="22" width="9.7109375" bestFit="1" customWidth="1"/>
    <col min="23" max="23" width="3.7109375" bestFit="1" customWidth="1"/>
    <col min="24" max="24" width="12.28515625" bestFit="1" customWidth="1"/>
    <col min="25" max="25" width="9.7109375" bestFit="1" customWidth="1"/>
    <col min="26" max="26" width="12.5703125" bestFit="1" customWidth="1"/>
    <col min="27" max="27" width="11.28515625" bestFit="1" customWidth="1"/>
    <col min="28" max="28" width="3.7109375" bestFit="1" customWidth="1"/>
    <col min="29" max="29" width="14" bestFit="1" customWidth="1"/>
    <col min="30" max="30" width="23.42578125" bestFit="1" customWidth="1"/>
    <col min="31" max="31" width="10.7109375" bestFit="1" customWidth="1"/>
  </cols>
  <sheetData>
    <row r="2" spans="1:15">
      <c r="A2" s="120" t="s">
        <v>660</v>
      </c>
      <c r="B2" s="123" t="s">
        <v>9</v>
      </c>
      <c r="E2"/>
      <c r="F2"/>
      <c r="G2"/>
    </row>
    <row r="3" spans="1:15" s="80" customFormat="1">
      <c r="A3" s="120" t="s">
        <v>661</v>
      </c>
      <c r="B3" t="s">
        <v>40</v>
      </c>
      <c r="C3" t="s">
        <v>39</v>
      </c>
      <c r="D3" t="s">
        <v>662</v>
      </c>
      <c r="E3"/>
      <c r="F3"/>
      <c r="G3"/>
      <c r="H3"/>
      <c r="I3"/>
      <c r="J3"/>
      <c r="K3"/>
      <c r="L3"/>
      <c r="M3"/>
      <c r="N3"/>
      <c r="O3"/>
    </row>
    <row r="4" spans="1:15">
      <c r="A4" s="121" t="s">
        <v>41</v>
      </c>
      <c r="B4" s="333"/>
      <c r="C4" s="333">
        <v>4</v>
      </c>
      <c r="D4" s="333">
        <v>4</v>
      </c>
      <c r="E4"/>
      <c r="F4"/>
      <c r="G4"/>
    </row>
    <row r="5" spans="1:15">
      <c r="A5" s="121" t="s">
        <v>63</v>
      </c>
      <c r="B5" s="333"/>
      <c r="C5" s="333">
        <v>6</v>
      </c>
      <c r="D5" s="333">
        <v>6</v>
      </c>
      <c r="E5"/>
      <c r="F5"/>
      <c r="G5"/>
    </row>
    <row r="6" spans="1:15">
      <c r="A6" s="121" t="s">
        <v>97</v>
      </c>
      <c r="B6" s="333">
        <v>1</v>
      </c>
      <c r="C6" s="333"/>
      <c r="D6" s="333">
        <v>1</v>
      </c>
      <c r="E6"/>
      <c r="F6"/>
      <c r="G6"/>
    </row>
    <row r="7" spans="1:15">
      <c r="A7" s="121" t="s">
        <v>384</v>
      </c>
      <c r="B7" s="333">
        <v>1</v>
      </c>
      <c r="C7" s="333"/>
      <c r="D7" s="333">
        <v>1</v>
      </c>
      <c r="E7"/>
      <c r="F7"/>
      <c r="G7"/>
    </row>
    <row r="8" spans="1:15">
      <c r="A8" s="121" t="s">
        <v>119</v>
      </c>
      <c r="B8" s="333"/>
      <c r="C8" s="333">
        <v>1</v>
      </c>
      <c r="D8" s="333">
        <v>1</v>
      </c>
      <c r="E8"/>
      <c r="F8"/>
      <c r="G8"/>
    </row>
    <row r="9" spans="1:15">
      <c r="A9" s="121" t="s">
        <v>120</v>
      </c>
      <c r="B9" s="333">
        <v>1</v>
      </c>
      <c r="C9" s="333"/>
      <c r="D9" s="333">
        <v>1</v>
      </c>
      <c r="E9"/>
      <c r="F9"/>
      <c r="G9"/>
    </row>
    <row r="10" spans="1:15">
      <c r="A10" s="121" t="s">
        <v>143</v>
      </c>
      <c r="B10" s="333"/>
      <c r="C10" s="333">
        <v>1</v>
      </c>
      <c r="D10" s="333">
        <v>1</v>
      </c>
      <c r="E10"/>
      <c r="F10"/>
      <c r="G10"/>
    </row>
    <row r="11" spans="1:15">
      <c r="A11" s="121" t="s">
        <v>156</v>
      </c>
      <c r="B11" s="333"/>
      <c r="C11" s="333">
        <v>1</v>
      </c>
      <c r="D11" s="333">
        <v>1</v>
      </c>
      <c r="E11"/>
      <c r="F11"/>
      <c r="G11"/>
    </row>
    <row r="12" spans="1:15">
      <c r="A12" s="121" t="s">
        <v>164</v>
      </c>
      <c r="B12" s="333"/>
      <c r="C12" s="333">
        <v>1</v>
      </c>
      <c r="D12" s="333">
        <v>1</v>
      </c>
      <c r="E12"/>
      <c r="F12"/>
      <c r="G12"/>
    </row>
    <row r="13" spans="1:15">
      <c r="A13" s="121" t="s">
        <v>171</v>
      </c>
      <c r="B13" s="333"/>
      <c r="C13" s="333">
        <v>1</v>
      </c>
      <c r="D13" s="333">
        <v>1</v>
      </c>
      <c r="E13"/>
      <c r="F13"/>
      <c r="G13"/>
    </row>
    <row r="14" spans="1:15">
      <c r="A14" s="121" t="s">
        <v>496</v>
      </c>
      <c r="B14" s="333"/>
      <c r="C14" s="333">
        <v>1</v>
      </c>
      <c r="D14" s="333">
        <v>1</v>
      </c>
      <c r="E14"/>
      <c r="F14"/>
      <c r="G14"/>
    </row>
    <row r="15" spans="1:15">
      <c r="A15" s="121" t="s">
        <v>639</v>
      </c>
      <c r="B15" s="333"/>
      <c r="C15" s="333">
        <v>1</v>
      </c>
      <c r="D15" s="333">
        <v>1</v>
      </c>
      <c r="E15"/>
      <c r="F15"/>
      <c r="G15"/>
    </row>
    <row r="16" spans="1:15">
      <c r="A16" s="121" t="s">
        <v>203</v>
      </c>
      <c r="B16" s="333"/>
      <c r="C16" s="333">
        <v>1</v>
      </c>
      <c r="D16" s="333">
        <v>1</v>
      </c>
      <c r="E16"/>
      <c r="F16"/>
      <c r="G16"/>
    </row>
    <row r="17" spans="1:9">
      <c r="A17" s="121" t="s">
        <v>553</v>
      </c>
      <c r="B17" s="333">
        <v>1</v>
      </c>
      <c r="C17" s="333"/>
      <c r="D17" s="333">
        <v>1</v>
      </c>
      <c r="E17"/>
      <c r="F17"/>
      <c r="G17"/>
    </row>
    <row r="18" spans="1:9">
      <c r="A18" s="121" t="s">
        <v>229</v>
      </c>
      <c r="B18" s="333"/>
      <c r="C18" s="333">
        <v>1</v>
      </c>
      <c r="D18" s="333">
        <v>1</v>
      </c>
      <c r="E18"/>
      <c r="F18"/>
      <c r="G18"/>
    </row>
    <row r="19" spans="1:9">
      <c r="A19" s="121" t="s">
        <v>230</v>
      </c>
      <c r="B19" s="333"/>
      <c r="C19" s="333">
        <v>1</v>
      </c>
      <c r="D19" s="333">
        <v>1</v>
      </c>
      <c r="E19"/>
      <c r="F19"/>
      <c r="G19"/>
    </row>
    <row r="20" spans="1:9">
      <c r="A20" s="121" t="s">
        <v>131</v>
      </c>
      <c r="B20" s="333"/>
      <c r="C20" s="333">
        <v>1</v>
      </c>
      <c r="D20" s="333">
        <v>1</v>
      </c>
      <c r="E20"/>
      <c r="F20"/>
      <c r="G20"/>
    </row>
    <row r="21" spans="1:9">
      <c r="A21" s="121" t="s">
        <v>145</v>
      </c>
      <c r="B21" s="333"/>
      <c r="C21" s="333">
        <v>1</v>
      </c>
      <c r="D21" s="333">
        <v>1</v>
      </c>
      <c r="E21"/>
      <c r="F21"/>
      <c r="G21"/>
    </row>
    <row r="22" spans="1:9">
      <c r="A22" s="121" t="s">
        <v>168</v>
      </c>
      <c r="B22" s="333"/>
      <c r="C22" s="333">
        <v>1</v>
      </c>
      <c r="D22" s="333">
        <v>1</v>
      </c>
      <c r="E22"/>
      <c r="F22"/>
      <c r="G22"/>
    </row>
    <row r="23" spans="1:9">
      <c r="A23" s="121" t="s">
        <v>489</v>
      </c>
      <c r="B23" s="333"/>
      <c r="C23" s="333">
        <v>2</v>
      </c>
      <c r="D23" s="333">
        <v>2</v>
      </c>
      <c r="E23"/>
      <c r="F23"/>
      <c r="G23"/>
    </row>
    <row r="24" spans="1:9">
      <c r="A24" s="121" t="s">
        <v>148</v>
      </c>
      <c r="B24" s="333"/>
      <c r="C24" s="333">
        <v>1</v>
      </c>
      <c r="D24" s="333">
        <v>1</v>
      </c>
      <c r="E24"/>
      <c r="F24"/>
      <c r="G24"/>
    </row>
    <row r="25" spans="1:9">
      <c r="A25" s="121" t="s">
        <v>515</v>
      </c>
      <c r="B25" s="333">
        <v>1</v>
      </c>
      <c r="C25" s="333"/>
      <c r="D25" s="333">
        <v>1</v>
      </c>
      <c r="E25"/>
      <c r="F25"/>
      <c r="G25"/>
    </row>
    <row r="26" spans="1:9">
      <c r="A26" s="121" t="s">
        <v>218</v>
      </c>
      <c r="B26" s="333"/>
      <c r="C26" s="333">
        <v>1</v>
      </c>
      <c r="D26" s="333">
        <v>1</v>
      </c>
      <c r="E26"/>
      <c r="F26"/>
      <c r="G26"/>
    </row>
    <row r="27" spans="1:9">
      <c r="A27" s="121" t="s">
        <v>662</v>
      </c>
      <c r="B27" s="333">
        <v>5</v>
      </c>
      <c r="C27" s="333">
        <v>27</v>
      </c>
      <c r="D27" s="333">
        <v>32</v>
      </c>
      <c r="E27"/>
      <c r="F27"/>
      <c r="G27"/>
    </row>
    <row r="28" spans="1:9">
      <c r="B28"/>
      <c r="C28"/>
      <c r="D28"/>
      <c r="E28"/>
      <c r="F28"/>
      <c r="G28" t="s">
        <v>663</v>
      </c>
      <c r="H28" t="s">
        <v>664</v>
      </c>
      <c r="I28">
        <f ca="1">+IF(H28="","",COUNTIF(ALL_02FEB2024[R.A.G. Status],SOWs!H28))</f>
        <v>125</v>
      </c>
    </row>
    <row r="29" spans="1:9">
      <c r="B29"/>
      <c r="C29"/>
      <c r="D29"/>
      <c r="E29"/>
      <c r="F29"/>
      <c r="G29" t="s">
        <v>665</v>
      </c>
      <c r="H29" t="s">
        <v>666</v>
      </c>
      <c r="I29">
        <f ca="1">+IF(H29="","",COUNTIF(ALL_02FEB2024[R.A.G. Status],SOWs!H29))</f>
        <v>0</v>
      </c>
    </row>
    <row r="30" spans="1:9">
      <c r="B30"/>
      <c r="C30"/>
      <c r="D30"/>
      <c r="E30"/>
      <c r="F30"/>
      <c r="G30" t="s">
        <v>315</v>
      </c>
      <c r="H30" t="s">
        <v>667</v>
      </c>
      <c r="I30">
        <f ca="1">+IF(H30="","",COUNTIF(ALL_02FEB2024[R.A.G. Status],SOWs!H30))</f>
        <v>90</v>
      </c>
    </row>
    <row r="31" spans="1:9">
      <c r="B31"/>
      <c r="C31"/>
      <c r="D31"/>
      <c r="E31"/>
      <c r="F31"/>
      <c r="G31"/>
      <c r="H31" t="s">
        <v>662</v>
      </c>
      <c r="I31">
        <f ca="1">+COUNTA(ALL_02FEB2024[R.A.G. Status])</f>
        <v>215</v>
      </c>
    </row>
    <row r="32" spans="1:9">
      <c r="B32"/>
      <c r="C32"/>
      <c r="D32"/>
      <c r="E32"/>
      <c r="F32"/>
      <c r="G32"/>
    </row>
    <row r="33" customFormat="1"/>
    <row r="34" customFormat="1"/>
    <row r="35" customFormat="1"/>
    <row r="36" customFormat="1"/>
    <row r="37" customFormat="1"/>
    <row r="38" customFormat="1"/>
    <row r="39" customFormat="1"/>
    <row r="40" customFormat="1"/>
    <row r="41" customFormat="1"/>
    <row r="42" customFormat="1"/>
    <row r="43" customFormat="1"/>
    <row r="44" customFormat="1"/>
    <row r="45" customFormat="1"/>
    <row r="46" customFormat="1"/>
    <row r="47" customFormat="1"/>
    <row r="48" customFormat="1"/>
    <row r="49" customFormat="1"/>
    <row r="50" customFormat="1"/>
    <row r="51" customFormat="1"/>
    <row r="52" customFormat="1"/>
    <row r="53" customFormat="1"/>
    <row r="54" customFormat="1"/>
    <row r="55" customFormat="1"/>
    <row r="56" customFormat="1"/>
    <row r="57" customFormat="1"/>
    <row r="58" customFormat="1"/>
    <row r="59" customFormat="1"/>
    <row r="60" customFormat="1"/>
    <row r="61" customFormat="1"/>
    <row r="62" customFormat="1"/>
    <row r="63" customFormat="1"/>
    <row r="64" customFormat="1"/>
    <row r="65" spans="2:7">
      <c r="B65"/>
      <c r="C65"/>
      <c r="D65"/>
      <c r="E65"/>
      <c r="F65"/>
      <c r="G65"/>
    </row>
    <row r="66" spans="2:7">
      <c r="B66"/>
      <c r="C66"/>
      <c r="D66"/>
      <c r="E66"/>
      <c r="F66"/>
      <c r="G66"/>
    </row>
    <row r="67" spans="2:7">
      <c r="B67"/>
      <c r="C67"/>
      <c r="D67"/>
      <c r="E67"/>
      <c r="F67"/>
      <c r="G67"/>
    </row>
    <row r="68" spans="2:7">
      <c r="B68"/>
      <c r="C68"/>
      <c r="D68"/>
      <c r="E68"/>
      <c r="F68"/>
      <c r="G68"/>
    </row>
    <row r="69" spans="2:7">
      <c r="B69"/>
      <c r="C69"/>
      <c r="D69"/>
      <c r="E69"/>
      <c r="F69"/>
      <c r="G69"/>
    </row>
    <row r="70" spans="2:7">
      <c r="B70"/>
      <c r="C70"/>
      <c r="D70"/>
      <c r="E70"/>
      <c r="F70"/>
      <c r="G70"/>
    </row>
    <row r="71" spans="2:7">
      <c r="B71"/>
      <c r="C71"/>
      <c r="D71"/>
      <c r="E71"/>
      <c r="F71"/>
      <c r="G71"/>
    </row>
    <row r="72" spans="2:7">
      <c r="B72"/>
      <c r="C72"/>
      <c r="D72"/>
      <c r="E72"/>
    </row>
    <row r="73" spans="2:7">
      <c r="B73"/>
      <c r="C73"/>
      <c r="D73"/>
      <c r="E73"/>
    </row>
    <row r="74" spans="2:7">
      <c r="B74"/>
      <c r="C74"/>
      <c r="D74"/>
      <c r="E74"/>
    </row>
    <row r="75" spans="2:7">
      <c r="B75"/>
      <c r="C75"/>
      <c r="D75"/>
      <c r="E75"/>
    </row>
    <row r="76" spans="2:7">
      <c r="B76"/>
      <c r="C76"/>
      <c r="D76"/>
      <c r="E76"/>
    </row>
    <row r="77" spans="2:7">
      <c r="B77"/>
      <c r="C77"/>
      <c r="D77"/>
      <c r="E77"/>
    </row>
    <row r="78" spans="2:7">
      <c r="B78"/>
      <c r="C78"/>
      <c r="D78"/>
      <c r="E78"/>
    </row>
    <row r="79" spans="2:7">
      <c r="B79"/>
      <c r="C79"/>
      <c r="D79"/>
      <c r="E79"/>
    </row>
    <row r="80" spans="2:7">
      <c r="B80"/>
      <c r="C80"/>
      <c r="D80"/>
      <c r="E80"/>
    </row>
    <row r="81" spans="2:5">
      <c r="B81"/>
      <c r="C81"/>
      <c r="D81"/>
      <c r="E81"/>
    </row>
    <row r="82" spans="2:5">
      <c r="B82"/>
      <c r="C82"/>
      <c r="D82"/>
      <c r="E82"/>
    </row>
    <row r="83" spans="2:5">
      <c r="B83"/>
      <c r="C83"/>
      <c r="D83"/>
      <c r="E83"/>
    </row>
    <row r="84" spans="2:5">
      <c r="B84"/>
      <c r="C84"/>
      <c r="D84"/>
      <c r="E84"/>
    </row>
    <row r="85" spans="2:5">
      <c r="B85"/>
      <c r="C85"/>
      <c r="D85"/>
      <c r="E85"/>
    </row>
    <row r="86" spans="2:5">
      <c r="B86"/>
      <c r="C86"/>
      <c r="D86"/>
      <c r="E86"/>
    </row>
    <row r="87" spans="2:5">
      <c r="B87"/>
      <c r="C87"/>
      <c r="D87"/>
      <c r="E87"/>
    </row>
    <row r="88" spans="2:5">
      <c r="B88"/>
      <c r="C88"/>
      <c r="D88"/>
      <c r="E88"/>
    </row>
    <row r="89" spans="2:5">
      <c r="B89"/>
      <c r="C89"/>
      <c r="D89"/>
      <c r="E89"/>
    </row>
    <row r="90" spans="2:5">
      <c r="B90"/>
      <c r="C90"/>
      <c r="D90"/>
      <c r="E90"/>
    </row>
    <row r="91" spans="2:5">
      <c r="B91"/>
      <c r="C91"/>
      <c r="D91"/>
      <c r="E91"/>
    </row>
    <row r="92" spans="2:5">
      <c r="B92"/>
      <c r="C92"/>
      <c r="D92"/>
      <c r="E92"/>
    </row>
    <row r="93" spans="2:5">
      <c r="B93"/>
      <c r="C93"/>
      <c r="D93"/>
      <c r="E93"/>
    </row>
    <row r="94" spans="2:5">
      <c r="B94"/>
      <c r="C94"/>
      <c r="D94"/>
      <c r="E94"/>
    </row>
    <row r="95" spans="2:5">
      <c r="B95"/>
      <c r="C95"/>
      <c r="D95"/>
      <c r="E95"/>
    </row>
    <row r="96" spans="2:5">
      <c r="B96"/>
      <c r="C96"/>
      <c r="D96"/>
      <c r="E96"/>
    </row>
    <row r="97" spans="2:5">
      <c r="B97"/>
      <c r="C97"/>
      <c r="D97"/>
      <c r="E97"/>
    </row>
    <row r="98" spans="2:5">
      <c r="B98"/>
      <c r="C98"/>
      <c r="D98"/>
      <c r="E98"/>
    </row>
    <row r="99" spans="2:5">
      <c r="B99"/>
      <c r="C99"/>
      <c r="D99"/>
      <c r="E99"/>
    </row>
    <row r="100" spans="2:5">
      <c r="B100"/>
      <c r="C100"/>
      <c r="D100"/>
      <c r="E100"/>
    </row>
    <row r="101" spans="2:5">
      <c r="B101"/>
      <c r="C101"/>
      <c r="D101"/>
      <c r="E101"/>
    </row>
    <row r="102" spans="2:5">
      <c r="B102"/>
      <c r="C102"/>
      <c r="D102"/>
      <c r="E102"/>
    </row>
    <row r="103" spans="2:5">
      <c r="B103"/>
      <c r="C103"/>
      <c r="D103"/>
      <c r="E103"/>
    </row>
    <row r="104" spans="2:5">
      <c r="B104"/>
      <c r="C104"/>
      <c r="D104"/>
      <c r="E104"/>
    </row>
    <row r="105" spans="2:5">
      <c r="B105"/>
      <c r="C105"/>
      <c r="D105"/>
      <c r="E105"/>
    </row>
    <row r="106" spans="2:5">
      <c r="B106"/>
      <c r="C106"/>
      <c r="D106"/>
      <c r="E106"/>
    </row>
    <row r="107" spans="2:5">
      <c r="B107"/>
      <c r="C107"/>
      <c r="D107"/>
      <c r="E107"/>
    </row>
    <row r="108" spans="2:5">
      <c r="B108"/>
      <c r="C108"/>
      <c r="D108"/>
      <c r="E108"/>
    </row>
    <row r="109" spans="2:5">
      <c r="B109"/>
      <c r="C109"/>
      <c r="D109"/>
      <c r="E109"/>
    </row>
    <row r="110" spans="2:5">
      <c r="B110"/>
      <c r="C110"/>
      <c r="D110"/>
      <c r="E110"/>
    </row>
    <row r="111" spans="2:5">
      <c r="B111"/>
      <c r="C111"/>
      <c r="D111"/>
      <c r="E111"/>
    </row>
    <row r="112" spans="2:5">
      <c r="B112"/>
      <c r="C112"/>
      <c r="D112"/>
      <c r="E112"/>
    </row>
    <row r="113" spans="2:5">
      <c r="B113"/>
      <c r="C113"/>
      <c r="D113"/>
      <c r="E113"/>
    </row>
    <row r="114" spans="2:5">
      <c r="B114"/>
      <c r="C114"/>
      <c r="D114"/>
      <c r="E114"/>
    </row>
    <row r="115" spans="2:5">
      <c r="B115"/>
      <c r="C115"/>
      <c r="D115"/>
      <c r="E115"/>
    </row>
    <row r="116" spans="2:5">
      <c r="B116"/>
      <c r="C116"/>
      <c r="D116"/>
      <c r="E116"/>
    </row>
    <row r="117" spans="2:5">
      <c r="B117"/>
      <c r="C117"/>
      <c r="D117"/>
      <c r="E117"/>
    </row>
    <row r="118" spans="2:5">
      <c r="B118"/>
      <c r="C118"/>
      <c r="D118"/>
      <c r="E118"/>
    </row>
    <row r="119" spans="2:5">
      <c r="B119"/>
      <c r="C119"/>
      <c r="D119"/>
      <c r="E119"/>
    </row>
    <row r="120" spans="2:5">
      <c r="B120"/>
      <c r="C120"/>
      <c r="D120"/>
      <c r="E120"/>
    </row>
    <row r="121" spans="2:5">
      <c r="B121"/>
      <c r="C121"/>
      <c r="D121"/>
      <c r="E121"/>
    </row>
    <row r="122" spans="2:5">
      <c r="B122"/>
      <c r="C122"/>
      <c r="D122"/>
      <c r="E122"/>
    </row>
    <row r="123" spans="2:5">
      <c r="B123"/>
      <c r="C123"/>
      <c r="D123"/>
      <c r="E123"/>
    </row>
    <row r="124" spans="2:5">
      <c r="B124"/>
      <c r="C124"/>
      <c r="D124"/>
      <c r="E124"/>
    </row>
    <row r="125" spans="2:5">
      <c r="B125"/>
      <c r="C125"/>
      <c r="D125"/>
      <c r="E125"/>
    </row>
    <row r="126" spans="2:5">
      <c r="B126"/>
      <c r="C126"/>
      <c r="D126"/>
      <c r="E126"/>
    </row>
    <row r="127" spans="2:5">
      <c r="B127"/>
      <c r="C127"/>
      <c r="D127"/>
      <c r="E127"/>
    </row>
    <row r="128" spans="2:5">
      <c r="B128"/>
      <c r="C128"/>
      <c r="D128"/>
      <c r="E128"/>
    </row>
    <row r="129" spans="2:5">
      <c r="B129"/>
      <c r="C129"/>
      <c r="D129"/>
      <c r="E129"/>
    </row>
    <row r="130" spans="2:5">
      <c r="B130"/>
      <c r="C130"/>
      <c r="D130"/>
      <c r="E130"/>
    </row>
    <row r="131" spans="2:5">
      <c r="B131"/>
      <c r="C131"/>
      <c r="D131"/>
      <c r="E131"/>
    </row>
    <row r="132" spans="2:5">
      <c r="B132"/>
      <c r="C132"/>
      <c r="D132"/>
      <c r="E132"/>
    </row>
    <row r="133" spans="2:5">
      <c r="B133"/>
      <c r="C133"/>
      <c r="D133"/>
      <c r="E133"/>
    </row>
    <row r="134" spans="2:5">
      <c r="B134"/>
      <c r="C134"/>
      <c r="D134"/>
      <c r="E134"/>
    </row>
    <row r="135" spans="2:5">
      <c r="B135"/>
      <c r="C135"/>
      <c r="D135"/>
      <c r="E135"/>
    </row>
    <row r="136" spans="2:5">
      <c r="B136"/>
      <c r="C136"/>
      <c r="D136"/>
      <c r="E136"/>
    </row>
    <row r="137" spans="2:5">
      <c r="B137"/>
      <c r="C137"/>
      <c r="D137"/>
      <c r="E137"/>
    </row>
    <row r="138" spans="2:5">
      <c r="B138"/>
      <c r="C138"/>
      <c r="D138"/>
      <c r="E138"/>
    </row>
    <row r="139" spans="2:5">
      <c r="B139"/>
      <c r="C139"/>
      <c r="D139"/>
      <c r="E139"/>
    </row>
    <row r="140" spans="2:5">
      <c r="B140"/>
      <c r="C140"/>
      <c r="D140"/>
      <c r="E140"/>
    </row>
    <row r="141" spans="2:5">
      <c r="B141"/>
      <c r="C141"/>
      <c r="D141"/>
      <c r="E141"/>
    </row>
    <row r="142" spans="2:5">
      <c r="B142"/>
      <c r="C142"/>
      <c r="D142"/>
      <c r="E142"/>
    </row>
    <row r="143" spans="2:5">
      <c r="B143"/>
      <c r="C143"/>
      <c r="D143"/>
      <c r="E143"/>
    </row>
    <row r="144" spans="2:5">
      <c r="B144"/>
      <c r="C144"/>
      <c r="D144"/>
      <c r="E144"/>
    </row>
    <row r="145" spans="2:5">
      <c r="B145"/>
      <c r="C145"/>
      <c r="D145"/>
      <c r="E145"/>
    </row>
    <row r="146" spans="2:5">
      <c r="B146"/>
      <c r="C146"/>
      <c r="D146"/>
      <c r="E146"/>
    </row>
    <row r="147" spans="2:5">
      <c r="B147"/>
      <c r="C147"/>
      <c r="D147"/>
      <c r="E147"/>
    </row>
    <row r="148" spans="2:5">
      <c r="B148"/>
      <c r="C148"/>
      <c r="D148"/>
      <c r="E148"/>
    </row>
    <row r="149" spans="2:5">
      <c r="B149"/>
      <c r="C149"/>
      <c r="D149"/>
      <c r="E149"/>
    </row>
    <row r="150" spans="2:5">
      <c r="B150"/>
      <c r="C150"/>
      <c r="D150"/>
      <c r="E150"/>
    </row>
    <row r="151" spans="2:5">
      <c r="B151"/>
      <c r="C151"/>
      <c r="D151"/>
      <c r="E151"/>
    </row>
    <row r="152" spans="2:5">
      <c r="B152"/>
      <c r="C152"/>
      <c r="D152"/>
      <c r="E152"/>
    </row>
    <row r="153" spans="2:5">
      <c r="B153"/>
      <c r="C153"/>
      <c r="D153"/>
      <c r="E153"/>
    </row>
    <row r="154" spans="2:5">
      <c r="B154"/>
      <c r="C154"/>
      <c r="D154"/>
      <c r="E154"/>
    </row>
    <row r="155" spans="2:5">
      <c r="B155"/>
      <c r="C155"/>
      <c r="D155"/>
      <c r="E155"/>
    </row>
    <row r="156" spans="2:5">
      <c r="B156"/>
      <c r="C156"/>
      <c r="D156"/>
      <c r="E156"/>
    </row>
    <row r="157" spans="2:5">
      <c r="B157"/>
      <c r="C157"/>
      <c r="D157"/>
      <c r="E157"/>
    </row>
    <row r="158" spans="2:5">
      <c r="B158"/>
      <c r="C158"/>
      <c r="D158"/>
      <c r="E158"/>
    </row>
    <row r="159" spans="2:5">
      <c r="B159"/>
      <c r="C159"/>
      <c r="D159"/>
      <c r="E159"/>
    </row>
    <row r="160" spans="2:5">
      <c r="B160"/>
      <c r="C160"/>
      <c r="D160"/>
      <c r="E160"/>
    </row>
    <row r="161" spans="2:5">
      <c r="B161"/>
      <c r="C161"/>
      <c r="D161"/>
      <c r="E161"/>
    </row>
    <row r="162" spans="2:5">
      <c r="B162"/>
      <c r="C162"/>
      <c r="D162"/>
      <c r="E162"/>
    </row>
    <row r="163" spans="2:5">
      <c r="B163"/>
      <c r="C163"/>
      <c r="D163"/>
      <c r="E163"/>
    </row>
    <row r="164" spans="2:5">
      <c r="B164"/>
      <c r="C164"/>
      <c r="D164"/>
      <c r="E164"/>
    </row>
    <row r="165" spans="2:5">
      <c r="B165"/>
      <c r="C165"/>
      <c r="D165"/>
      <c r="E165"/>
    </row>
    <row r="166" spans="2:5">
      <c r="B166"/>
      <c r="C166"/>
      <c r="D166"/>
      <c r="E166"/>
    </row>
    <row r="167" spans="2:5">
      <c r="B167"/>
      <c r="C167"/>
      <c r="D167"/>
      <c r="E167"/>
    </row>
    <row r="168" spans="2:5">
      <c r="B168"/>
      <c r="C168"/>
      <c r="D168"/>
      <c r="E168"/>
    </row>
    <row r="169" spans="2:5">
      <c r="B169"/>
      <c r="C169"/>
      <c r="D169"/>
      <c r="E169"/>
    </row>
    <row r="170" spans="2:5">
      <c r="B170"/>
      <c r="C170"/>
      <c r="D170"/>
      <c r="E170"/>
    </row>
    <row r="171" spans="2:5">
      <c r="B171"/>
      <c r="C171"/>
      <c r="D171"/>
      <c r="E171"/>
    </row>
    <row r="172" spans="2:5">
      <c r="B172"/>
      <c r="C172"/>
      <c r="D172"/>
      <c r="E172"/>
    </row>
    <row r="173" spans="2:5">
      <c r="B173"/>
      <c r="C173"/>
      <c r="D173"/>
      <c r="E173"/>
    </row>
    <row r="174" spans="2:5">
      <c r="B174"/>
      <c r="C174"/>
      <c r="D174"/>
      <c r="E174"/>
    </row>
    <row r="175" spans="2:5">
      <c r="B175"/>
      <c r="C175"/>
      <c r="D175"/>
      <c r="E175"/>
    </row>
    <row r="176" spans="2:5">
      <c r="B176"/>
      <c r="C176"/>
      <c r="D176"/>
      <c r="E176"/>
    </row>
    <row r="177" spans="2:5">
      <c r="B177"/>
      <c r="C177"/>
      <c r="D177"/>
      <c r="E177"/>
    </row>
    <row r="178" spans="2:5">
      <c r="B178"/>
      <c r="C178"/>
      <c r="D178"/>
      <c r="E178"/>
    </row>
    <row r="179" spans="2:5">
      <c r="B179"/>
      <c r="C179"/>
      <c r="D179"/>
      <c r="E179"/>
    </row>
    <row r="180" spans="2:5">
      <c r="B180"/>
      <c r="C180"/>
      <c r="D180"/>
      <c r="E180"/>
    </row>
    <row r="181" spans="2:5">
      <c r="B181"/>
      <c r="C181"/>
      <c r="D181"/>
      <c r="E181"/>
    </row>
    <row r="182" spans="2:5">
      <c r="B182"/>
      <c r="C182"/>
      <c r="D182"/>
      <c r="E182"/>
    </row>
    <row r="183" spans="2:5">
      <c r="B183"/>
      <c r="C183"/>
      <c r="D183"/>
      <c r="E183"/>
    </row>
    <row r="184" spans="2:5">
      <c r="B184"/>
      <c r="C184"/>
      <c r="D184"/>
      <c r="E184"/>
    </row>
    <row r="185" spans="2:5">
      <c r="B185"/>
      <c r="C185"/>
      <c r="D185"/>
      <c r="E185"/>
    </row>
    <row r="186" spans="2:5">
      <c r="B186"/>
      <c r="C186"/>
      <c r="D186"/>
      <c r="E186"/>
    </row>
    <row r="187" spans="2:5">
      <c r="B187"/>
      <c r="C187"/>
      <c r="D187"/>
      <c r="E187"/>
    </row>
    <row r="188" spans="2:5">
      <c r="B188"/>
      <c r="C188"/>
      <c r="D188"/>
      <c r="E188"/>
    </row>
    <row r="189" spans="2:5">
      <c r="B189"/>
      <c r="C189"/>
      <c r="D189"/>
      <c r="E189"/>
    </row>
    <row r="190" spans="2:5">
      <c r="B190"/>
      <c r="C190"/>
      <c r="D190"/>
      <c r="E190"/>
    </row>
    <row r="191" spans="2:5">
      <c r="B191"/>
      <c r="C191"/>
      <c r="D191"/>
      <c r="E191"/>
    </row>
    <row r="192" spans="2:5">
      <c r="B192"/>
      <c r="C192"/>
      <c r="D192"/>
      <c r="E192"/>
    </row>
    <row r="193" spans="2:5">
      <c r="B193"/>
      <c r="C193"/>
      <c r="D193"/>
      <c r="E193"/>
    </row>
    <row r="194" spans="2:5">
      <c r="B194"/>
      <c r="C194"/>
      <c r="D194"/>
      <c r="E194"/>
    </row>
    <row r="195" spans="2:5">
      <c r="B195"/>
      <c r="C195"/>
      <c r="D195"/>
      <c r="E195"/>
    </row>
    <row r="196" spans="2:5">
      <c r="B196"/>
      <c r="C196"/>
      <c r="D196"/>
      <c r="E196"/>
    </row>
    <row r="197" spans="2:5">
      <c r="B197"/>
      <c r="C197"/>
      <c r="D197"/>
      <c r="E197"/>
    </row>
    <row r="198" spans="2:5">
      <c r="B198"/>
      <c r="C198"/>
      <c r="D198"/>
      <c r="E198"/>
    </row>
    <row r="199" spans="2:5">
      <c r="B199"/>
      <c r="C199"/>
      <c r="D199"/>
      <c r="E199"/>
    </row>
    <row r="200" spans="2:5">
      <c r="B200"/>
      <c r="C200"/>
      <c r="D200"/>
      <c r="E200"/>
    </row>
    <row r="201" spans="2:5">
      <c r="B201"/>
      <c r="C201"/>
      <c r="D201"/>
      <c r="E201"/>
    </row>
    <row r="202" spans="2:5">
      <c r="B202"/>
      <c r="C202"/>
      <c r="D202"/>
      <c r="E202"/>
    </row>
    <row r="203" spans="2:5">
      <c r="B203"/>
      <c r="C203"/>
      <c r="D203"/>
      <c r="E203"/>
    </row>
    <row r="204" spans="2:5">
      <c r="B204"/>
      <c r="C204"/>
      <c r="D204"/>
      <c r="E204"/>
    </row>
    <row r="205" spans="2:5">
      <c r="B205"/>
      <c r="C205"/>
      <c r="D205"/>
      <c r="E205"/>
    </row>
    <row r="206" spans="2:5">
      <c r="B206"/>
      <c r="C206"/>
      <c r="D206"/>
      <c r="E206"/>
    </row>
    <row r="207" spans="2:5">
      <c r="B207"/>
      <c r="C207"/>
      <c r="D207"/>
      <c r="E207"/>
    </row>
    <row r="208" spans="2:5">
      <c r="B208"/>
      <c r="C208"/>
      <c r="D208"/>
      <c r="E208"/>
    </row>
    <row r="209" spans="2:5">
      <c r="B209"/>
      <c r="C209"/>
      <c r="D209"/>
      <c r="E209"/>
    </row>
    <row r="210" spans="2:5">
      <c r="B210"/>
      <c r="C210"/>
      <c r="D210"/>
      <c r="E210"/>
    </row>
    <row r="211" spans="2:5">
      <c r="B211"/>
      <c r="C211"/>
      <c r="D211"/>
      <c r="E211"/>
    </row>
    <row r="212" spans="2:5">
      <c r="B212"/>
      <c r="C212"/>
      <c r="D212"/>
      <c r="E212"/>
    </row>
    <row r="213" spans="2:5">
      <c r="B213"/>
      <c r="C213"/>
      <c r="D213"/>
      <c r="E213"/>
    </row>
    <row r="214" spans="2:5">
      <c r="B214"/>
      <c r="C214"/>
      <c r="D214"/>
      <c r="E214"/>
    </row>
    <row r="215" spans="2:5">
      <c r="B215"/>
      <c r="C215"/>
      <c r="D215"/>
      <c r="E215"/>
    </row>
    <row r="216" spans="2:5">
      <c r="B216"/>
      <c r="C216"/>
      <c r="D216"/>
      <c r="E216"/>
    </row>
    <row r="217" spans="2:5">
      <c r="B217"/>
      <c r="C217"/>
      <c r="D217"/>
      <c r="E217"/>
    </row>
    <row r="218" spans="2:5">
      <c r="B218"/>
      <c r="C218"/>
      <c r="D218"/>
      <c r="E218"/>
    </row>
    <row r="219" spans="2:5">
      <c r="B219"/>
      <c r="C219"/>
      <c r="D219"/>
      <c r="E219"/>
    </row>
    <row r="220" spans="2:5">
      <c r="B220"/>
      <c r="C220"/>
      <c r="D220"/>
      <c r="E220"/>
    </row>
    <row r="221" spans="2:5">
      <c r="B221"/>
      <c r="C221"/>
      <c r="D221"/>
      <c r="E221"/>
    </row>
    <row r="222" spans="2:5">
      <c r="B222"/>
      <c r="C222"/>
      <c r="D222"/>
      <c r="E222"/>
    </row>
    <row r="223" spans="2:5">
      <c r="B223"/>
      <c r="C223"/>
      <c r="D223"/>
      <c r="E223"/>
    </row>
    <row r="224" spans="2:5">
      <c r="B224"/>
      <c r="C224"/>
      <c r="D224"/>
      <c r="E224"/>
    </row>
    <row r="225" spans="2:5">
      <c r="B225"/>
      <c r="C225"/>
      <c r="D225"/>
      <c r="E225"/>
    </row>
    <row r="226" spans="2:5">
      <c r="B226"/>
      <c r="C226"/>
      <c r="D226"/>
      <c r="E226"/>
    </row>
    <row r="227" spans="2:5">
      <c r="B227"/>
      <c r="C227"/>
      <c r="D227"/>
      <c r="E227"/>
    </row>
    <row r="228" spans="2:5">
      <c r="B228"/>
      <c r="C228"/>
      <c r="D228"/>
      <c r="E228"/>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3:C189"/>
  <sheetViews>
    <sheetView workbookViewId="0">
      <selection activeCell="C3" sqref="C3"/>
    </sheetView>
  </sheetViews>
  <sheetFormatPr defaultRowHeight="15"/>
  <cols>
    <col min="1" max="1" width="47.85546875" customWidth="1"/>
    <col min="2" max="2" width="22.28515625" style="125" customWidth="1"/>
    <col min="3" max="3" width="19" customWidth="1"/>
    <col min="4" max="4" width="10.28515625" bestFit="1" customWidth="1"/>
    <col min="5" max="5" width="10.7109375" bestFit="1" customWidth="1"/>
    <col min="6" max="6" width="5" bestFit="1" customWidth="1"/>
    <col min="7" max="7" width="10.28515625" bestFit="1" customWidth="1"/>
    <col min="8" max="11" width="11.28515625" bestFit="1" customWidth="1"/>
    <col min="12" max="12" width="9.28515625" bestFit="1" customWidth="1"/>
    <col min="13" max="14" width="12.7109375" bestFit="1" customWidth="1"/>
  </cols>
  <sheetData>
    <row r="3" spans="1:3">
      <c r="A3" s="120" t="s">
        <v>585</v>
      </c>
      <c r="B3" t="s">
        <v>668</v>
      </c>
      <c r="C3" t="s">
        <v>669</v>
      </c>
    </row>
    <row r="4" spans="1:3">
      <c r="A4" s="121" t="s">
        <v>41</v>
      </c>
      <c r="B4" s="126">
        <v>22410</v>
      </c>
      <c r="C4" s="126">
        <v>589520</v>
      </c>
    </row>
    <row r="5" spans="1:3">
      <c r="A5" s="122" t="s">
        <v>48</v>
      </c>
      <c r="B5" s="126"/>
      <c r="C5" s="126"/>
    </row>
    <row r="6" spans="1:3">
      <c r="A6" s="122" t="s">
        <v>282</v>
      </c>
      <c r="B6" s="126">
        <v>9000</v>
      </c>
      <c r="C6" s="126">
        <v>428600</v>
      </c>
    </row>
    <row r="7" spans="1:3">
      <c r="A7" s="122" t="s">
        <v>290</v>
      </c>
      <c r="B7" s="126">
        <v>13410</v>
      </c>
      <c r="C7" s="126">
        <v>160920</v>
      </c>
    </row>
    <row r="8" spans="1:3">
      <c r="A8" s="121" t="s">
        <v>55</v>
      </c>
      <c r="B8" s="126"/>
      <c r="C8" s="126"/>
    </row>
    <row r="9" spans="1:3">
      <c r="A9" s="122" t="s">
        <v>48</v>
      </c>
      <c r="B9" s="126"/>
      <c r="C9" s="126"/>
    </row>
    <row r="10" spans="1:3">
      <c r="A10" s="121" t="s">
        <v>311</v>
      </c>
      <c r="B10" s="126">
        <v>4500</v>
      </c>
      <c r="C10" s="126"/>
    </row>
    <row r="11" spans="1:3">
      <c r="A11" s="122" t="s">
        <v>290</v>
      </c>
      <c r="B11" s="126">
        <v>4500</v>
      </c>
      <c r="C11" s="126"/>
    </row>
    <row r="12" spans="1:3">
      <c r="A12" s="121" t="s">
        <v>59</v>
      </c>
      <c r="B12" s="126">
        <v>5000</v>
      </c>
      <c r="C12" s="126">
        <v>60000</v>
      </c>
    </row>
    <row r="13" spans="1:3">
      <c r="A13" s="122" t="s">
        <v>48</v>
      </c>
      <c r="B13" s="126"/>
      <c r="C13" s="126"/>
    </row>
    <row r="14" spans="1:3">
      <c r="A14" s="122" t="s">
        <v>290</v>
      </c>
      <c r="B14" s="126">
        <v>5000</v>
      </c>
      <c r="C14" s="126">
        <v>60000</v>
      </c>
    </row>
    <row r="15" spans="1:3">
      <c r="A15" s="121" t="s">
        <v>63</v>
      </c>
      <c r="B15" s="126">
        <v>12250</v>
      </c>
      <c r="C15" s="126">
        <v>147000</v>
      </c>
    </row>
    <row r="16" spans="1:3">
      <c r="A16" s="122" t="s">
        <v>290</v>
      </c>
      <c r="B16" s="126">
        <v>12250</v>
      </c>
      <c r="C16" s="126">
        <v>147000</v>
      </c>
    </row>
    <row r="17" spans="1:3">
      <c r="A17" s="121" t="s">
        <v>75</v>
      </c>
      <c r="B17" s="126"/>
      <c r="C17" s="126"/>
    </row>
    <row r="18" spans="1:3">
      <c r="A18" s="122" t="s">
        <v>48</v>
      </c>
      <c r="B18" s="126"/>
      <c r="C18" s="126"/>
    </row>
    <row r="19" spans="1:3">
      <c r="A19" s="121" t="s">
        <v>354</v>
      </c>
      <c r="B19" s="126"/>
      <c r="C19" s="126"/>
    </row>
    <row r="20" spans="1:3">
      <c r="A20" s="122" t="s">
        <v>290</v>
      </c>
      <c r="B20" s="126"/>
      <c r="C20" s="126"/>
    </row>
    <row r="21" spans="1:3">
      <c r="A21" s="121" t="s">
        <v>85</v>
      </c>
      <c r="B21" s="126"/>
      <c r="C21" s="126"/>
    </row>
    <row r="22" spans="1:3">
      <c r="A22" s="122" t="s">
        <v>48</v>
      </c>
      <c r="B22" s="126"/>
      <c r="C22" s="126"/>
    </row>
    <row r="23" spans="1:3">
      <c r="A23" s="122" t="s">
        <v>290</v>
      </c>
      <c r="B23" s="126"/>
      <c r="C23" s="126"/>
    </row>
    <row r="24" spans="1:3">
      <c r="A24" s="121" t="s">
        <v>94</v>
      </c>
      <c r="B24" s="126"/>
      <c r="C24" s="126"/>
    </row>
    <row r="25" spans="1:3">
      <c r="A25" s="122" t="s">
        <v>290</v>
      </c>
      <c r="B25" s="126"/>
      <c r="C25" s="126"/>
    </row>
    <row r="26" spans="1:3">
      <c r="A26" s="121" t="s">
        <v>96</v>
      </c>
      <c r="B26" s="126">
        <v>3825</v>
      </c>
      <c r="C26" s="126">
        <v>45900</v>
      </c>
    </row>
    <row r="27" spans="1:3">
      <c r="A27" s="122" t="s">
        <v>290</v>
      </c>
      <c r="B27" s="126">
        <v>3825</v>
      </c>
      <c r="C27" s="126">
        <v>45900</v>
      </c>
    </row>
    <row r="28" spans="1:3">
      <c r="A28" s="121" t="s">
        <v>99</v>
      </c>
      <c r="B28" s="126"/>
      <c r="C28" s="126"/>
    </row>
    <row r="29" spans="1:3">
      <c r="A29" s="122" t="s">
        <v>48</v>
      </c>
      <c r="B29" s="126"/>
      <c r="C29" s="126"/>
    </row>
    <row r="30" spans="1:3">
      <c r="A30" s="121" t="s">
        <v>378</v>
      </c>
      <c r="B30" s="126"/>
      <c r="C30" s="126">
        <v>55440</v>
      </c>
    </row>
    <row r="31" spans="1:3">
      <c r="A31" s="122" t="s">
        <v>383</v>
      </c>
      <c r="B31" s="126"/>
      <c r="C31" s="126">
        <v>55440</v>
      </c>
    </row>
    <row r="32" spans="1:3">
      <c r="A32" s="122" t="s">
        <v>290</v>
      </c>
      <c r="B32" s="126"/>
      <c r="C32" s="126"/>
    </row>
    <row r="33" spans="1:3">
      <c r="A33" s="121" t="s">
        <v>384</v>
      </c>
      <c r="B33" s="126"/>
      <c r="C33" s="126"/>
    </row>
    <row r="34" spans="1:3">
      <c r="A34" s="122" t="s">
        <v>383</v>
      </c>
      <c r="B34" s="126"/>
      <c r="C34" s="126"/>
    </row>
    <row r="35" spans="1:3">
      <c r="A35" s="122" t="s">
        <v>290</v>
      </c>
      <c r="B35" s="126"/>
      <c r="C35" s="126"/>
    </row>
    <row r="36" spans="1:3">
      <c r="A36" s="121" t="s">
        <v>102</v>
      </c>
      <c r="B36" s="126"/>
      <c r="C36" s="126"/>
    </row>
    <row r="37" spans="1:3">
      <c r="A37" s="122" t="s">
        <v>290</v>
      </c>
      <c r="B37" s="126"/>
      <c r="C37" s="126"/>
    </row>
    <row r="38" spans="1:3">
      <c r="A38" s="121" t="s">
        <v>412</v>
      </c>
      <c r="B38" s="126"/>
      <c r="C38" s="126"/>
    </row>
    <row r="39" spans="1:3">
      <c r="A39" s="122" t="s">
        <v>383</v>
      </c>
      <c r="B39" s="126"/>
      <c r="C39" s="126"/>
    </row>
    <row r="40" spans="1:3">
      <c r="A40" s="122" t="s">
        <v>416</v>
      </c>
      <c r="B40" s="126"/>
      <c r="C40" s="126"/>
    </row>
    <row r="41" spans="1:3">
      <c r="A41" s="121" t="s">
        <v>109</v>
      </c>
      <c r="B41" s="126"/>
      <c r="C41" s="126">
        <v>479200</v>
      </c>
    </row>
    <row r="42" spans="1:3">
      <c r="A42" s="122" t="s">
        <v>48</v>
      </c>
      <c r="B42" s="126"/>
      <c r="C42" s="126"/>
    </row>
    <row r="43" spans="1:3">
      <c r="A43" s="122" t="s">
        <v>290</v>
      </c>
      <c r="B43" s="126"/>
      <c r="C43" s="126">
        <v>479200</v>
      </c>
    </row>
    <row r="44" spans="1:3">
      <c r="A44" s="121" t="s">
        <v>111</v>
      </c>
      <c r="B44" s="126"/>
      <c r="C44" s="126"/>
    </row>
    <row r="45" spans="1:3">
      <c r="A45" s="122" t="s">
        <v>290</v>
      </c>
      <c r="B45" s="126"/>
      <c r="C45" s="126"/>
    </row>
    <row r="46" spans="1:3">
      <c r="A46" s="121" t="s">
        <v>119</v>
      </c>
      <c r="B46" s="126"/>
      <c r="C46" s="126">
        <v>94775</v>
      </c>
    </row>
    <row r="47" spans="1:3">
      <c r="A47" s="122" t="s">
        <v>290</v>
      </c>
      <c r="B47" s="126"/>
      <c r="C47" s="126">
        <v>94775</v>
      </c>
    </row>
    <row r="48" spans="1:3">
      <c r="A48" s="121" t="s">
        <v>120</v>
      </c>
      <c r="B48" s="126">
        <v>0</v>
      </c>
      <c r="C48" s="126">
        <v>0</v>
      </c>
    </row>
    <row r="49" spans="1:3">
      <c r="A49" s="122" t="s">
        <v>441</v>
      </c>
      <c r="B49" s="126">
        <v>0</v>
      </c>
      <c r="C49" s="126">
        <v>0</v>
      </c>
    </row>
    <row r="50" spans="1:3">
      <c r="A50" s="121" t="s">
        <v>123</v>
      </c>
      <c r="B50" s="126"/>
      <c r="C50" s="126"/>
    </row>
    <row r="51" spans="1:3">
      <c r="A51" s="122" t="s">
        <v>48</v>
      </c>
      <c r="B51" s="126"/>
      <c r="C51" s="126"/>
    </row>
    <row r="52" spans="1:3">
      <c r="A52" s="122" t="s">
        <v>441</v>
      </c>
      <c r="B52" s="126"/>
      <c r="C52" s="126"/>
    </row>
    <row r="53" spans="1:3">
      <c r="A53" s="121" t="s">
        <v>126</v>
      </c>
      <c r="B53" s="126"/>
      <c r="C53" s="126">
        <v>41300</v>
      </c>
    </row>
    <row r="54" spans="1:3">
      <c r="A54" s="122" t="s">
        <v>48</v>
      </c>
      <c r="B54" s="126"/>
      <c r="C54" s="126"/>
    </row>
    <row r="55" spans="1:3">
      <c r="A55" s="122" t="s">
        <v>290</v>
      </c>
      <c r="B55" s="126"/>
      <c r="C55" s="126">
        <v>41300</v>
      </c>
    </row>
    <row r="56" spans="1:3">
      <c r="A56" s="121" t="s">
        <v>138</v>
      </c>
      <c r="B56" s="126"/>
      <c r="C56" s="126"/>
    </row>
    <row r="57" spans="1:3">
      <c r="A57" s="122" t="s">
        <v>290</v>
      </c>
      <c r="B57" s="126"/>
      <c r="C57" s="126"/>
    </row>
    <row r="58" spans="1:3">
      <c r="A58" s="121" t="s">
        <v>143</v>
      </c>
      <c r="B58" s="126"/>
      <c r="C58" s="126">
        <v>116200</v>
      </c>
    </row>
    <row r="59" spans="1:3">
      <c r="A59" s="122" t="s">
        <v>48</v>
      </c>
      <c r="B59" s="126"/>
      <c r="C59" s="126"/>
    </row>
    <row r="60" spans="1:3">
      <c r="A60" s="122" t="s">
        <v>290</v>
      </c>
      <c r="B60" s="126"/>
      <c r="C60" s="126">
        <v>116200</v>
      </c>
    </row>
    <row r="61" spans="1:3">
      <c r="A61" s="121" t="s">
        <v>156</v>
      </c>
      <c r="B61" s="126"/>
      <c r="C61" s="126">
        <v>26400</v>
      </c>
    </row>
    <row r="62" spans="1:3">
      <c r="A62" s="122" t="s">
        <v>290</v>
      </c>
      <c r="B62" s="126"/>
      <c r="C62" s="126">
        <v>26400</v>
      </c>
    </row>
    <row r="63" spans="1:3">
      <c r="A63" s="121" t="s">
        <v>157</v>
      </c>
      <c r="B63" s="126">
        <v>0</v>
      </c>
      <c r="C63" s="126">
        <v>7000</v>
      </c>
    </row>
    <row r="64" spans="1:3">
      <c r="A64" s="122" t="s">
        <v>48</v>
      </c>
      <c r="B64" s="126"/>
      <c r="C64" s="126"/>
    </row>
    <row r="65" spans="1:3">
      <c r="A65" s="122" t="s">
        <v>290</v>
      </c>
      <c r="B65" s="126">
        <v>0</v>
      </c>
      <c r="C65" s="126">
        <v>7000</v>
      </c>
    </row>
    <row r="66" spans="1:3">
      <c r="A66" s="122" t="s">
        <v>571</v>
      </c>
      <c r="B66" s="126">
        <v>0</v>
      </c>
      <c r="C66" s="126">
        <v>0</v>
      </c>
    </row>
    <row r="67" spans="1:3">
      <c r="A67" s="121" t="s">
        <v>160</v>
      </c>
      <c r="B67" s="126"/>
      <c r="C67" s="126"/>
    </row>
    <row r="68" spans="1:3">
      <c r="A68" s="122" t="s">
        <v>48</v>
      </c>
      <c r="B68" s="126"/>
      <c r="C68" s="126"/>
    </row>
    <row r="69" spans="1:3">
      <c r="A69" s="122" t="s">
        <v>290</v>
      </c>
      <c r="B69" s="126"/>
      <c r="C69" s="126"/>
    </row>
    <row r="70" spans="1:3">
      <c r="A70" s="121" t="s">
        <v>164</v>
      </c>
      <c r="B70" s="126">
        <v>21625</v>
      </c>
      <c r="C70" s="126">
        <v>129750</v>
      </c>
    </row>
    <row r="71" spans="1:3">
      <c r="A71" s="122" t="s">
        <v>290</v>
      </c>
      <c r="B71" s="126">
        <v>21625</v>
      </c>
      <c r="C71" s="126">
        <v>129750</v>
      </c>
    </row>
    <row r="72" spans="1:3">
      <c r="A72" s="121" t="s">
        <v>166</v>
      </c>
      <c r="B72" s="126"/>
      <c r="C72" s="126"/>
    </row>
    <row r="73" spans="1:3">
      <c r="A73" s="122" t="s">
        <v>383</v>
      </c>
      <c r="B73" s="126"/>
      <c r="C73" s="126"/>
    </row>
    <row r="74" spans="1:3">
      <c r="A74" s="121" t="s">
        <v>171</v>
      </c>
      <c r="B74" s="126"/>
      <c r="C74" s="126">
        <v>75000</v>
      </c>
    </row>
    <row r="75" spans="1:3">
      <c r="A75" s="122" t="s">
        <v>383</v>
      </c>
      <c r="B75" s="126"/>
      <c r="C75" s="126">
        <v>75000</v>
      </c>
    </row>
    <row r="76" spans="1:3">
      <c r="A76" s="121" t="s">
        <v>172</v>
      </c>
      <c r="B76" s="126"/>
      <c r="C76" s="126"/>
    </row>
    <row r="77" spans="1:3">
      <c r="A77" s="122" t="s">
        <v>441</v>
      </c>
      <c r="B77" s="126"/>
      <c r="C77" s="126"/>
    </row>
    <row r="78" spans="1:3">
      <c r="A78" s="122" t="s">
        <v>383</v>
      </c>
      <c r="B78" s="126"/>
      <c r="C78" s="126"/>
    </row>
    <row r="79" spans="1:3">
      <c r="A79" s="121" t="s">
        <v>496</v>
      </c>
      <c r="B79" s="126"/>
      <c r="C79" s="126">
        <v>10500</v>
      </c>
    </row>
    <row r="80" spans="1:3">
      <c r="A80" s="122" t="s">
        <v>498</v>
      </c>
      <c r="B80" s="126"/>
      <c r="C80" s="126">
        <v>10500</v>
      </c>
    </row>
    <row r="81" spans="1:3">
      <c r="A81" s="121" t="s">
        <v>178</v>
      </c>
      <c r="B81" s="126">
        <v>4210</v>
      </c>
      <c r="C81" s="126">
        <v>50520</v>
      </c>
    </row>
    <row r="82" spans="1:3">
      <c r="A82" s="122" t="s">
        <v>290</v>
      </c>
      <c r="B82" s="126">
        <v>4210</v>
      </c>
      <c r="C82" s="126">
        <v>50520</v>
      </c>
    </row>
    <row r="83" spans="1:3">
      <c r="A83" s="121" t="s">
        <v>188</v>
      </c>
      <c r="B83" s="126"/>
      <c r="C83" s="126"/>
    </row>
    <row r="84" spans="1:3">
      <c r="A84" s="122" t="s">
        <v>48</v>
      </c>
      <c r="B84" s="126"/>
      <c r="C84" s="126"/>
    </row>
    <row r="85" spans="1:3">
      <c r="A85" s="122" t="s">
        <v>290</v>
      </c>
      <c r="B85" s="126"/>
      <c r="C85" s="126"/>
    </row>
    <row r="86" spans="1:3">
      <c r="A86" s="121" t="s">
        <v>192</v>
      </c>
      <c r="B86" s="126"/>
      <c r="C86" s="126"/>
    </row>
    <row r="87" spans="1:3">
      <c r="A87" s="122" t="s">
        <v>290</v>
      </c>
      <c r="B87" s="126"/>
      <c r="C87" s="126"/>
    </row>
    <row r="88" spans="1:3">
      <c r="A88" s="121" t="s">
        <v>198</v>
      </c>
      <c r="B88" s="126"/>
      <c r="C88" s="126"/>
    </row>
    <row r="89" spans="1:3">
      <c r="A89" s="122" t="s">
        <v>290</v>
      </c>
      <c r="B89" s="126"/>
      <c r="C89" s="126"/>
    </row>
    <row r="90" spans="1:3">
      <c r="A90" s="122" t="s">
        <v>571</v>
      </c>
      <c r="B90" s="126"/>
      <c r="C90" s="126"/>
    </row>
    <row r="91" spans="1:3">
      <c r="A91" s="121" t="s">
        <v>204</v>
      </c>
      <c r="B91" s="126"/>
      <c r="C91" s="126"/>
    </row>
    <row r="92" spans="1:3">
      <c r="A92" s="122" t="s">
        <v>48</v>
      </c>
      <c r="B92" s="126"/>
      <c r="C92" s="126"/>
    </row>
    <row r="93" spans="1:3">
      <c r="A93" s="122" t="s">
        <v>290</v>
      </c>
      <c r="B93" s="126"/>
      <c r="C93" s="126"/>
    </row>
    <row r="94" spans="1:3">
      <c r="A94" s="121" t="s">
        <v>534</v>
      </c>
      <c r="B94" s="126"/>
      <c r="C94" s="126"/>
    </row>
    <row r="95" spans="1:3">
      <c r="A95" s="122" t="s">
        <v>290</v>
      </c>
      <c r="B95" s="126"/>
      <c r="C95" s="126"/>
    </row>
    <row r="96" spans="1:3">
      <c r="A96" s="121" t="s">
        <v>210</v>
      </c>
      <c r="B96" s="126">
        <v>1300</v>
      </c>
      <c r="C96" s="126"/>
    </row>
    <row r="97" spans="1:3">
      <c r="A97" s="122" t="s">
        <v>290</v>
      </c>
      <c r="B97" s="126">
        <v>1300</v>
      </c>
      <c r="C97" s="126"/>
    </row>
    <row r="98" spans="1:3">
      <c r="A98" s="121" t="s">
        <v>222</v>
      </c>
      <c r="B98" s="126"/>
      <c r="C98" s="126"/>
    </row>
    <row r="99" spans="1:3">
      <c r="A99" s="122" t="s">
        <v>290</v>
      </c>
      <c r="B99" s="126"/>
      <c r="C99" s="126"/>
    </row>
    <row r="100" spans="1:3">
      <c r="A100" s="121" t="s">
        <v>553</v>
      </c>
      <c r="B100" s="126"/>
      <c r="C100" s="126"/>
    </row>
    <row r="101" spans="1:3">
      <c r="A101" s="122" t="s">
        <v>290</v>
      </c>
      <c r="B101" s="126"/>
      <c r="C101" s="126"/>
    </row>
    <row r="102" spans="1:3">
      <c r="A102" s="121" t="s">
        <v>227</v>
      </c>
      <c r="B102" s="126">
        <v>4000</v>
      </c>
      <c r="C102" s="126"/>
    </row>
    <row r="103" spans="1:3">
      <c r="A103" s="122" t="s">
        <v>290</v>
      </c>
      <c r="B103" s="126">
        <v>4000</v>
      </c>
      <c r="C103" s="126"/>
    </row>
    <row r="104" spans="1:3">
      <c r="A104" s="121" t="s">
        <v>228</v>
      </c>
      <c r="B104" s="126"/>
      <c r="C104" s="126"/>
    </row>
    <row r="105" spans="1:3">
      <c r="A105" s="122" t="s">
        <v>48</v>
      </c>
      <c r="B105" s="126"/>
      <c r="C105" s="126"/>
    </row>
    <row r="106" spans="1:3">
      <c r="A106" s="122" t="s">
        <v>290</v>
      </c>
      <c r="B106" s="126"/>
      <c r="C106" s="126"/>
    </row>
    <row r="107" spans="1:3">
      <c r="A107" s="121" t="s">
        <v>229</v>
      </c>
      <c r="B107" s="126"/>
      <c r="C107" s="126"/>
    </row>
    <row r="108" spans="1:3">
      <c r="A108" s="122" t="s">
        <v>48</v>
      </c>
      <c r="B108" s="126"/>
      <c r="C108" s="126"/>
    </row>
    <row r="109" spans="1:3">
      <c r="A109" s="122" t="s">
        <v>571</v>
      </c>
      <c r="B109" s="126"/>
      <c r="C109" s="126"/>
    </row>
    <row r="110" spans="1:3">
      <c r="A110" s="121" t="s">
        <v>230</v>
      </c>
      <c r="B110" s="126"/>
      <c r="C110" s="126"/>
    </row>
    <row r="111" spans="1:3">
      <c r="A111" s="122" t="s">
        <v>290</v>
      </c>
      <c r="B111" s="126"/>
      <c r="C111" s="126"/>
    </row>
    <row r="112" spans="1:3">
      <c r="A112" s="121" t="s">
        <v>202</v>
      </c>
      <c r="B112" s="126">
        <v>5000</v>
      </c>
      <c r="C112" s="126">
        <v>45000</v>
      </c>
    </row>
    <row r="113" spans="1:3">
      <c r="A113" s="122" t="s">
        <v>290</v>
      </c>
      <c r="B113" s="126">
        <v>5000</v>
      </c>
      <c r="C113" s="126">
        <v>45000</v>
      </c>
    </row>
    <row r="114" spans="1:3">
      <c r="A114" s="121" t="s">
        <v>118</v>
      </c>
      <c r="B114" s="126"/>
      <c r="C114" s="126"/>
    </row>
    <row r="115" spans="1:3">
      <c r="A115" s="122" t="s">
        <v>290</v>
      </c>
      <c r="B115" s="126"/>
      <c r="C115" s="126"/>
    </row>
    <row r="116" spans="1:3">
      <c r="A116" s="121" t="s">
        <v>670</v>
      </c>
      <c r="B116" s="126">
        <v>84120</v>
      </c>
      <c r="C116" s="126">
        <v>1973505</v>
      </c>
    </row>
    <row r="117" spans="1:3">
      <c r="B117"/>
    </row>
    <row r="118" spans="1:3">
      <c r="B118"/>
    </row>
    <row r="119" spans="1:3">
      <c r="B119"/>
    </row>
    <row r="120" spans="1:3">
      <c r="B120"/>
    </row>
    <row r="121" spans="1:3">
      <c r="B121"/>
    </row>
    <row r="122" spans="1:3">
      <c r="B122"/>
    </row>
    <row r="123" spans="1:3">
      <c r="B123"/>
    </row>
    <row r="124" spans="1:3">
      <c r="B124"/>
    </row>
    <row r="125" spans="1:3">
      <c r="B125"/>
    </row>
    <row r="126" spans="1:3">
      <c r="B126"/>
    </row>
    <row r="127" spans="1:3">
      <c r="B127"/>
    </row>
    <row r="128" spans="1:3">
      <c r="B128"/>
    </row>
    <row r="129" spans="2:2">
      <c r="B129"/>
    </row>
    <row r="130" spans="2:2">
      <c r="B130"/>
    </row>
    <row r="131" spans="2:2">
      <c r="B131"/>
    </row>
    <row r="132" spans="2:2">
      <c r="B132"/>
    </row>
    <row r="133" spans="2:2">
      <c r="B133"/>
    </row>
    <row r="134" spans="2:2">
      <c r="B134"/>
    </row>
    <row r="135" spans="2:2">
      <c r="B135"/>
    </row>
    <row r="136" spans="2:2">
      <c r="B136"/>
    </row>
    <row r="137" spans="2:2">
      <c r="B137"/>
    </row>
    <row r="138" spans="2:2">
      <c r="B138"/>
    </row>
    <row r="139" spans="2:2">
      <c r="B139"/>
    </row>
    <row r="140" spans="2:2">
      <c r="B140"/>
    </row>
    <row r="141" spans="2:2">
      <c r="B141"/>
    </row>
    <row r="142" spans="2:2">
      <c r="B142"/>
    </row>
    <row r="143" spans="2:2">
      <c r="B143"/>
    </row>
    <row r="144" spans="2:2">
      <c r="B144"/>
    </row>
    <row r="145" spans="2:2">
      <c r="B145"/>
    </row>
    <row r="146" spans="2:2">
      <c r="B146"/>
    </row>
    <row r="147" spans="2:2">
      <c r="B147"/>
    </row>
    <row r="148" spans="2:2">
      <c r="B148"/>
    </row>
    <row r="149" spans="2:2">
      <c r="B149"/>
    </row>
    <row r="150" spans="2:2">
      <c r="B150"/>
    </row>
    <row r="151" spans="2:2">
      <c r="B151"/>
    </row>
    <row r="152" spans="2:2">
      <c r="B152"/>
    </row>
    <row r="153" spans="2:2">
      <c r="B153"/>
    </row>
    <row r="154" spans="2:2">
      <c r="B154"/>
    </row>
    <row r="155" spans="2:2">
      <c r="B155"/>
    </row>
    <row r="156" spans="2:2">
      <c r="B156"/>
    </row>
    <row r="157" spans="2:2">
      <c r="B157"/>
    </row>
    <row r="158" spans="2:2">
      <c r="B158"/>
    </row>
    <row r="159" spans="2:2">
      <c r="B159"/>
    </row>
    <row r="160" spans="2:2">
      <c r="B160"/>
    </row>
    <row r="161" spans="2:2">
      <c r="B161"/>
    </row>
    <row r="162" spans="2:2">
      <c r="B162"/>
    </row>
    <row r="163" spans="2:2">
      <c r="B163"/>
    </row>
    <row r="164" spans="2:2">
      <c r="B164"/>
    </row>
    <row r="165" spans="2:2">
      <c r="B165"/>
    </row>
    <row r="166" spans="2:2">
      <c r="B166"/>
    </row>
    <row r="167" spans="2:2">
      <c r="B167"/>
    </row>
    <row r="168" spans="2:2">
      <c r="B168"/>
    </row>
    <row r="169" spans="2:2">
      <c r="B169"/>
    </row>
    <row r="170" spans="2:2">
      <c r="B170"/>
    </row>
    <row r="171" spans="2:2">
      <c r="B171"/>
    </row>
    <row r="172" spans="2:2">
      <c r="B172"/>
    </row>
    <row r="173" spans="2:2">
      <c r="B173"/>
    </row>
    <row r="174" spans="2:2">
      <c r="B174"/>
    </row>
    <row r="175" spans="2:2">
      <c r="B175"/>
    </row>
    <row r="176" spans="2:2">
      <c r="B176"/>
    </row>
    <row r="177" spans="2:2">
      <c r="B177"/>
    </row>
    <row r="178" spans="2:2">
      <c r="B178"/>
    </row>
    <row r="179" spans="2:2">
      <c r="B179"/>
    </row>
    <row r="180" spans="2:2">
      <c r="B180"/>
    </row>
    <row r="181" spans="2:2">
      <c r="B181"/>
    </row>
    <row r="182" spans="2:2">
      <c r="B182"/>
    </row>
    <row r="183" spans="2:2">
      <c r="B183"/>
    </row>
    <row r="184" spans="2:2">
      <c r="B184"/>
    </row>
    <row r="185" spans="2:2">
      <c r="B185"/>
    </row>
    <row r="186" spans="2:2">
      <c r="B186"/>
    </row>
    <row r="187" spans="2:2">
      <c r="B187"/>
    </row>
    <row r="188" spans="2:2">
      <c r="B188"/>
    </row>
    <row r="189" spans="2:2">
      <c r="B189"/>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B2:C15"/>
  <sheetViews>
    <sheetView workbookViewId="0">
      <selection activeCell="C4" sqref="C4"/>
    </sheetView>
  </sheetViews>
  <sheetFormatPr defaultRowHeight="15"/>
  <cols>
    <col min="2" max="2" width="20.7109375" style="19" bestFit="1" customWidth="1"/>
    <col min="3" max="3" width="206.28515625" customWidth="1"/>
  </cols>
  <sheetData>
    <row r="2" spans="2:3" ht="21" customHeight="1"/>
    <row r="3" spans="2:3" ht="90">
      <c r="B3" s="19" t="s">
        <v>671</v>
      </c>
      <c r="C3" s="80" t="s">
        <v>672</v>
      </c>
    </row>
    <row r="4" spans="2:3" ht="78.599999999999994" customHeight="1">
      <c r="B4" s="19" t="s">
        <v>126</v>
      </c>
      <c r="C4" s="80" t="s">
        <v>673</v>
      </c>
    </row>
    <row r="5" spans="2:3">
      <c r="B5" s="19" t="s">
        <v>227</v>
      </c>
    </row>
    <row r="15" spans="2:3">
      <c r="B15" s="19" t="s">
        <v>111</v>
      </c>
      <c r="C15" t="s">
        <v>674</v>
      </c>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outlinePr applyStyles="1"/>
  </sheetPr>
  <dimension ref="A1:F66"/>
  <sheetViews>
    <sheetView topLeftCell="A47" workbookViewId="0">
      <selection activeCell="E60" sqref="E60"/>
    </sheetView>
  </sheetViews>
  <sheetFormatPr defaultRowHeight="15"/>
  <cols>
    <col min="1" max="1" width="42.7109375" style="19" bestFit="1" customWidth="1"/>
    <col min="2" max="2" width="53.28515625" style="80" customWidth="1"/>
    <col min="3" max="3" width="32.7109375" bestFit="1" customWidth="1"/>
    <col min="5" max="5" width="30" customWidth="1"/>
  </cols>
  <sheetData>
    <row r="1" spans="1:3" s="6" customFormat="1">
      <c r="A1" s="118" t="s">
        <v>675</v>
      </c>
      <c r="B1" s="115" t="s">
        <v>37</v>
      </c>
      <c r="C1" s="6" t="s">
        <v>250</v>
      </c>
    </row>
    <row r="2" spans="1:3">
      <c r="A2" s="47" t="s">
        <v>676</v>
      </c>
    </row>
    <row r="3" spans="1:3">
      <c r="A3" s="19" t="s">
        <v>677</v>
      </c>
      <c r="B3" s="80" t="s">
        <v>678</v>
      </c>
    </row>
    <row r="4" spans="1:3" s="6" customFormat="1">
      <c r="A4" s="47" t="s">
        <v>96</v>
      </c>
      <c r="B4" s="116"/>
    </row>
    <row r="5" spans="1:3">
      <c r="A5" s="19" t="s">
        <v>635</v>
      </c>
      <c r="B5" s="80" t="s">
        <v>679</v>
      </c>
    </row>
    <row r="6" spans="1:3" s="6" customFormat="1">
      <c r="A6" s="47" t="s">
        <v>384</v>
      </c>
      <c r="B6" s="116"/>
    </row>
    <row r="7" spans="1:3">
      <c r="A7" s="19" t="s">
        <v>392</v>
      </c>
      <c r="B7" s="80" t="s">
        <v>680</v>
      </c>
    </row>
    <row r="8" spans="1:3" s="6" customFormat="1">
      <c r="A8" s="47" t="s">
        <v>102</v>
      </c>
      <c r="B8" s="116"/>
    </row>
    <row r="9" spans="1:3">
      <c r="A9" s="19" t="s">
        <v>636</v>
      </c>
      <c r="B9" s="80" t="s">
        <v>678</v>
      </c>
    </row>
    <row r="10" spans="1:3">
      <c r="A10" s="19" t="s">
        <v>637</v>
      </c>
      <c r="B10" s="80" t="s">
        <v>678</v>
      </c>
    </row>
    <row r="11" spans="1:3" s="6" customFormat="1">
      <c r="A11" s="47" t="s">
        <v>111</v>
      </c>
      <c r="B11" s="116"/>
    </row>
    <row r="12" spans="1:3">
      <c r="A12" s="19" t="s">
        <v>288</v>
      </c>
      <c r="B12" s="80" t="s">
        <v>678</v>
      </c>
      <c r="C12" t="s">
        <v>681</v>
      </c>
    </row>
    <row r="13" spans="1:3" s="6" customFormat="1">
      <c r="A13" s="47" t="s">
        <v>120</v>
      </c>
      <c r="B13" s="116"/>
    </row>
    <row r="14" spans="1:3">
      <c r="A14" s="19" t="s">
        <v>440</v>
      </c>
      <c r="B14" s="80" t="s">
        <v>678</v>
      </c>
    </row>
    <row r="15" spans="1:3" s="6" customFormat="1">
      <c r="A15" s="47" t="s">
        <v>126</v>
      </c>
      <c r="B15" s="116"/>
    </row>
    <row r="16" spans="1:3">
      <c r="A16" s="19" t="s">
        <v>474</v>
      </c>
      <c r="B16" s="80" t="s">
        <v>682</v>
      </c>
    </row>
    <row r="17" spans="1:2" s="6" customFormat="1">
      <c r="A17" s="47" t="s">
        <v>156</v>
      </c>
      <c r="B17" s="116"/>
    </row>
    <row r="18" spans="1:2">
      <c r="A18" s="19" t="s">
        <v>469</v>
      </c>
      <c r="B18" s="80" t="s">
        <v>683</v>
      </c>
    </row>
    <row r="19" spans="1:2" s="6" customFormat="1">
      <c r="A19" s="47" t="s">
        <v>684</v>
      </c>
      <c r="B19" s="116"/>
    </row>
    <row r="20" spans="1:2" ht="30">
      <c r="A20" s="19" t="s">
        <v>685</v>
      </c>
      <c r="B20" s="80" t="s">
        <v>686</v>
      </c>
    </row>
    <row r="21" spans="1:2" s="6" customFormat="1">
      <c r="A21" s="47" t="s">
        <v>190</v>
      </c>
      <c r="B21" s="116"/>
    </row>
    <row r="22" spans="1:2">
      <c r="A22" s="19" t="s">
        <v>193</v>
      </c>
      <c r="B22" s="80" t="s">
        <v>687</v>
      </c>
    </row>
    <row r="23" spans="1:2" s="6" customFormat="1">
      <c r="A23" s="47" t="s">
        <v>688</v>
      </c>
      <c r="B23" s="116"/>
    </row>
    <row r="24" spans="1:2">
      <c r="A24" s="19" t="s">
        <v>512</v>
      </c>
      <c r="B24" s="80" t="s">
        <v>689</v>
      </c>
    </row>
    <row r="25" spans="1:2" s="6" customFormat="1">
      <c r="A25" s="47" t="s">
        <v>655</v>
      </c>
      <c r="B25" s="116"/>
    </row>
    <row r="26" spans="1:2">
      <c r="A26" s="19" t="s">
        <v>316</v>
      </c>
      <c r="B26" s="80" t="s">
        <v>690</v>
      </c>
    </row>
    <row r="27" spans="1:2" s="6" customFormat="1">
      <c r="A27" s="47" t="s">
        <v>533</v>
      </c>
      <c r="B27" s="116"/>
    </row>
    <row r="28" spans="1:2">
      <c r="A28" s="19" t="s">
        <v>691</v>
      </c>
    </row>
    <row r="29" spans="1:2" s="6" customFormat="1">
      <c r="A29" s="47" t="s">
        <v>534</v>
      </c>
      <c r="B29" s="116"/>
    </row>
    <row r="30" spans="1:2" ht="30">
      <c r="A30" s="19" t="s">
        <v>316</v>
      </c>
      <c r="B30" s="80" t="s">
        <v>692</v>
      </c>
    </row>
    <row r="31" spans="1:2" s="6" customFormat="1">
      <c r="A31" s="47" t="s">
        <v>210</v>
      </c>
      <c r="B31" s="116"/>
    </row>
    <row r="32" spans="1:2">
      <c r="A32" s="19" t="s">
        <v>535</v>
      </c>
      <c r="B32" s="80" t="s">
        <v>693</v>
      </c>
    </row>
    <row r="33" spans="1:2" s="6" customFormat="1">
      <c r="A33" s="47" t="s">
        <v>553</v>
      </c>
      <c r="B33" s="116"/>
    </row>
    <row r="34" spans="1:2">
      <c r="A34" s="19" t="s">
        <v>553</v>
      </c>
    </row>
    <row r="35" spans="1:2">
      <c r="A35" s="19" t="s">
        <v>556</v>
      </c>
      <c r="B35" s="80" t="s">
        <v>678</v>
      </c>
    </row>
    <row r="36" spans="1:2" s="6" customFormat="1">
      <c r="A36" s="47" t="s">
        <v>659</v>
      </c>
      <c r="B36" s="116"/>
    </row>
    <row r="37" spans="1:2">
      <c r="A37" s="19" t="s">
        <v>565</v>
      </c>
      <c r="B37" s="80" t="s">
        <v>678</v>
      </c>
    </row>
    <row r="38" spans="1:2" s="6" customFormat="1">
      <c r="A38" s="47" t="s">
        <v>229</v>
      </c>
      <c r="B38" s="116"/>
    </row>
    <row r="39" spans="1:2">
      <c r="A39" s="19" t="s">
        <v>570</v>
      </c>
      <c r="B39" s="80" t="s">
        <v>678</v>
      </c>
    </row>
    <row r="40" spans="1:2" s="6" customFormat="1">
      <c r="A40" s="47" t="s">
        <v>230</v>
      </c>
      <c r="B40" s="116"/>
    </row>
    <row r="41" spans="1:2">
      <c r="A41" s="19" t="s">
        <v>288</v>
      </c>
      <c r="B41" s="80" t="s">
        <v>694</v>
      </c>
    </row>
    <row r="42" spans="1:2" s="6" customFormat="1">
      <c r="A42" s="47" t="s">
        <v>695</v>
      </c>
      <c r="B42" s="116" t="s">
        <v>696</v>
      </c>
    </row>
    <row r="43" spans="1:2" s="6" customFormat="1">
      <c r="A43" s="47" t="s">
        <v>697</v>
      </c>
      <c r="B43" s="116" t="s">
        <v>696</v>
      </c>
    </row>
    <row r="45" spans="1:2" s="6" customFormat="1">
      <c r="A45" s="119" t="s">
        <v>698</v>
      </c>
      <c r="B45" s="117" t="s">
        <v>37</v>
      </c>
    </row>
    <row r="46" spans="1:2">
      <c r="A46" s="19" t="s">
        <v>699</v>
      </c>
      <c r="B46" s="80" t="s">
        <v>700</v>
      </c>
    </row>
    <row r="47" spans="1:2" ht="30">
      <c r="A47" s="19" t="s">
        <v>701</v>
      </c>
      <c r="B47" s="80" t="s">
        <v>702</v>
      </c>
    </row>
    <row r="48" spans="1:2">
      <c r="A48" s="19" t="s">
        <v>151</v>
      </c>
      <c r="B48" s="80" t="s">
        <v>703</v>
      </c>
    </row>
    <row r="49" spans="1:6" ht="30">
      <c r="A49" s="19" t="s">
        <v>704</v>
      </c>
      <c r="B49" s="80" t="s">
        <v>705</v>
      </c>
    </row>
    <row r="53" spans="1:6">
      <c r="A53" s="119" t="s">
        <v>706</v>
      </c>
      <c r="B53" s="117" t="s">
        <v>37</v>
      </c>
    </row>
    <row r="54" spans="1:6">
      <c r="A54" s="19" t="s">
        <v>345</v>
      </c>
      <c r="B54" s="80" t="s">
        <v>707</v>
      </c>
    </row>
    <row r="57" spans="1:6">
      <c r="A57" s="6"/>
    </row>
    <row r="58" spans="1:6">
      <c r="A58" s="119" t="s">
        <v>708</v>
      </c>
      <c r="B58" s="117" t="s">
        <v>37</v>
      </c>
      <c r="E58" t="s">
        <v>709</v>
      </c>
    </row>
    <row r="59" spans="1:6" ht="30">
      <c r="A59" s="60" t="s">
        <v>59</v>
      </c>
      <c r="B59" s="71" t="s">
        <v>132</v>
      </c>
      <c r="C59" s="62" t="s">
        <v>158</v>
      </c>
      <c r="D59" s="62" t="s">
        <v>288</v>
      </c>
      <c r="E59" s="75" t="s">
        <v>316</v>
      </c>
      <c r="F59" t="s">
        <v>710</v>
      </c>
    </row>
    <row r="60" spans="1:6" ht="30">
      <c r="A60" s="60" t="s">
        <v>126</v>
      </c>
      <c r="B60" s="71" t="s">
        <v>132</v>
      </c>
      <c r="C60" s="62" t="s">
        <v>158</v>
      </c>
      <c r="D60" s="62" t="s">
        <v>288</v>
      </c>
      <c r="E60" s="197" t="s">
        <v>451</v>
      </c>
    </row>
    <row r="61" spans="1:6" ht="30">
      <c r="A61" s="60" t="s">
        <v>227</v>
      </c>
      <c r="B61" s="71" t="s">
        <v>132</v>
      </c>
      <c r="C61" s="62" t="s">
        <v>158</v>
      </c>
      <c r="D61" s="62" t="s">
        <v>288</v>
      </c>
      <c r="E61" s="75" t="s">
        <v>565</v>
      </c>
    </row>
    <row r="62" spans="1:6">
      <c r="A62" s="198" t="s">
        <v>111</v>
      </c>
      <c r="B62" s="198" t="s">
        <v>288</v>
      </c>
      <c r="C62" s="199" t="s">
        <v>678</v>
      </c>
      <c r="D62" s="200" t="s">
        <v>681</v>
      </c>
      <c r="E62" s="200"/>
    </row>
    <row r="66" spans="1:5" ht="30">
      <c r="A66" s="60" t="s">
        <v>711</v>
      </c>
      <c r="B66" s="71" t="s">
        <v>132</v>
      </c>
      <c r="C66" s="62" t="s">
        <v>158</v>
      </c>
      <c r="D66" s="62" t="s">
        <v>288</v>
      </c>
      <c r="E66" s="75" t="s">
        <v>288</v>
      </c>
    </row>
  </sheetData>
  <hyperlinks>
    <hyperlink ref="E59" r:id="rId1"/>
    <hyperlink ref="E66" r:id="rId2"/>
    <hyperlink ref="E60" r:id="rId3"/>
    <hyperlink ref="E61" r:id="rId4"/>
  </hyperlinks>
  <pageMargins left="0.7" right="0.7" top="0.75" bottom="0.75" header="0.3" footer="0.3"/>
  <pageSetup orientation="portrait" r:id="rId5"/>
  <drawing r:id="rId6"/>
  <extLst>
    <ext xmlns:x14="http://schemas.microsoft.com/office/spreadsheetml/2009/9/main" uri="{CCE6A557-97BC-4b89-ADB6-D9C93CAAB3DF}">
      <x14:dataValidations xmlns:xm="http://schemas.microsoft.com/office/excel/2006/main" count="3">
        <x14:dataValidation type="list" allowBlank="1" showInputMessage="1" showErrorMessage="1">
          <x14:formula1>
            <xm:f>'Settings &amp; Instructions'!$D$2:$D$6</xm:f>
          </x14:formula1>
          <xm:sqref>B60:B61 B59 B66</xm:sqref>
        </x14:dataValidation>
        <x14:dataValidation type="list" allowBlank="1" showInputMessage="1" showErrorMessage="1">
          <x14:formula1>
            <xm:f>'Settings &amp; Instructions'!$A$2:$A$19</xm:f>
          </x14:formula1>
          <xm:sqref>C60:C61 C59 C66</xm:sqref>
        </x14:dataValidation>
        <x14:dataValidation type="list" allowBlank="1" showInputMessage="1" showErrorMessage="1">
          <x14:formula1>
            <xm:f>'Settings &amp; Instructions'!$C$2:$C$14</xm:f>
          </x14:formula1>
          <xm:sqref>D66 D59:D61</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B1:AR19"/>
  <sheetViews>
    <sheetView workbookViewId="0">
      <selection activeCell="AE1" sqref="AE1:AK1048576"/>
    </sheetView>
  </sheetViews>
  <sheetFormatPr defaultRowHeight="15"/>
  <cols>
    <col min="1" max="1" width="2.28515625" customWidth="1"/>
    <col min="2" max="2" width="28.5703125" bestFit="1" customWidth="1"/>
    <col min="3" max="3" width="14.28515625" hidden="1" customWidth="1"/>
    <col min="4" max="4" width="14.7109375" hidden="1" customWidth="1"/>
    <col min="5" max="5" width="12.7109375" hidden="1" customWidth="1"/>
    <col min="6" max="6" width="10.28515625" hidden="1" customWidth="1"/>
    <col min="7" max="7" width="23.42578125" hidden="1" customWidth="1"/>
    <col min="8" max="8" width="11.42578125" hidden="1" customWidth="1"/>
    <col min="9" max="9" width="8.5703125" hidden="1" customWidth="1"/>
    <col min="10" max="10" width="5.5703125" hidden="1" customWidth="1"/>
    <col min="11" max="11" width="5.42578125" hidden="1" customWidth="1"/>
    <col min="12" max="12" width="13.42578125" hidden="1" customWidth="1"/>
    <col min="13" max="13" width="8.28515625" hidden="1" customWidth="1"/>
    <col min="14" max="14" width="16.7109375" hidden="1" customWidth="1"/>
    <col min="15" max="15" width="9.42578125" hidden="1" customWidth="1"/>
    <col min="16" max="16" width="18.7109375" hidden="1" customWidth="1"/>
    <col min="17" max="17" width="9.28515625" bestFit="1" customWidth="1"/>
    <col min="18" max="18" width="15.42578125" bestFit="1" customWidth="1"/>
    <col min="19" max="19" width="17.7109375" bestFit="1" customWidth="1"/>
    <col min="20" max="20" width="16.42578125" bestFit="1" customWidth="1"/>
    <col min="21" max="21" width="13.7109375" bestFit="1" customWidth="1"/>
    <col min="22" max="22" width="16.7109375" bestFit="1" customWidth="1"/>
    <col min="23" max="23" width="17.7109375" bestFit="1" customWidth="1"/>
    <col min="24" max="24" width="11.7109375" bestFit="1" customWidth="1"/>
    <col min="25" max="25" width="15" bestFit="1" customWidth="1"/>
    <col min="26" max="26" width="19.28515625" bestFit="1" customWidth="1"/>
    <col min="27" max="27" width="18.28515625" bestFit="1" customWidth="1"/>
    <col min="28" max="29" width="16.5703125" bestFit="1" customWidth="1"/>
    <col min="30" max="30" width="17.28515625" bestFit="1" customWidth="1"/>
    <col min="31" max="32" width="10.28515625" hidden="1" customWidth="1"/>
    <col min="33" max="33" width="5" hidden="1" customWidth="1"/>
    <col min="34" max="34" width="4.7109375" hidden="1" customWidth="1"/>
    <col min="35" max="35" width="6" hidden="1" customWidth="1"/>
    <col min="36" max="36" width="2.28515625" hidden="1" customWidth="1"/>
    <col min="37" max="37" width="107.28515625" hidden="1" customWidth="1"/>
  </cols>
  <sheetData>
    <row r="1" spans="2:44" s="19" customFormat="1">
      <c r="B1" s="47" t="s">
        <v>43</v>
      </c>
      <c r="C1" s="18"/>
      <c r="D1" s="20"/>
      <c r="E1" s="36"/>
      <c r="F1" s="36"/>
      <c r="G1" s="33"/>
      <c r="H1" s="21"/>
      <c r="I1" s="21"/>
      <c r="J1" s="36"/>
      <c r="K1" s="18"/>
    </row>
    <row r="2" spans="2:44" s="19" customFormat="1" ht="15.75" thickBot="1">
      <c r="B2" s="47" t="s">
        <v>39</v>
      </c>
      <c r="C2" s="18"/>
      <c r="D2" s="20"/>
      <c r="E2" s="36"/>
      <c r="F2" s="36"/>
      <c r="G2" s="33"/>
      <c r="H2" s="21"/>
      <c r="I2" s="21"/>
      <c r="J2" s="36"/>
      <c r="K2" s="18"/>
    </row>
    <row r="3" spans="2:44" s="28" customFormat="1" ht="45.75" thickBot="1">
      <c r="B3" s="22" t="s">
        <v>1</v>
      </c>
      <c r="C3" s="23" t="s">
        <v>2</v>
      </c>
      <c r="D3" s="23" t="s">
        <v>3</v>
      </c>
      <c r="E3" s="24" t="s">
        <v>5</v>
      </c>
      <c r="F3" s="24" t="s">
        <v>6</v>
      </c>
      <c r="G3" s="24" t="s">
        <v>712</v>
      </c>
      <c r="H3" s="50" t="s">
        <v>9</v>
      </c>
      <c r="I3" s="24" t="s">
        <v>4</v>
      </c>
      <c r="J3" s="24" t="s">
        <v>351</v>
      </c>
      <c r="K3" s="24" t="s">
        <v>274</v>
      </c>
      <c r="L3" s="24" t="s">
        <v>278</v>
      </c>
      <c r="M3" s="24" t="s">
        <v>713</v>
      </c>
      <c r="N3" s="24" t="s">
        <v>12</v>
      </c>
      <c r="O3" s="25" t="s">
        <v>714</v>
      </c>
      <c r="P3" s="24" t="s">
        <v>14</v>
      </c>
      <c r="Q3" s="24" t="s">
        <v>715</v>
      </c>
      <c r="R3" s="24" t="s">
        <v>16</v>
      </c>
      <c r="S3" s="24" t="s">
        <v>17</v>
      </c>
      <c r="T3" s="24" t="s">
        <v>18</v>
      </c>
      <c r="U3" s="24" t="s">
        <v>19</v>
      </c>
      <c r="V3" s="24" t="s">
        <v>20</v>
      </c>
      <c r="W3" s="24" t="s">
        <v>21</v>
      </c>
      <c r="X3" s="24" t="s">
        <v>22</v>
      </c>
      <c r="Y3" s="26" t="s">
        <v>23</v>
      </c>
      <c r="Z3" s="26" t="s">
        <v>24</v>
      </c>
      <c r="AA3" s="26" t="s">
        <v>25</v>
      </c>
      <c r="AB3" s="26" t="s">
        <v>26</v>
      </c>
      <c r="AC3" s="26" t="s">
        <v>27</v>
      </c>
      <c r="AD3" s="26" t="s">
        <v>716</v>
      </c>
      <c r="AE3" s="24" t="s">
        <v>36</v>
      </c>
      <c r="AF3" s="27" t="s">
        <v>37</v>
      </c>
    </row>
    <row r="4" spans="2:44" s="19" customFormat="1">
      <c r="B4" s="19" t="e" cm="1">
        <f t="array" aca="1" ref="B4:AR19" ca="1">_xlfn._xlws.FILTER(ALL_02FEB2024[],ALL_02FEB2024[Contract Type]&amp;ALL_02FEB2024[General Liability Insurance]=('Contracts Insurance'!B1&amp;'Contracts Insurance'!B2))</f>
        <v>#NAME?</v>
      </c>
      <c r="C4" s="18" t="e">
        <f ca="1"/>
        <v>#NAME?</v>
      </c>
      <c r="D4" s="20" t="e">
        <f ca="1"/>
        <v>#NAME?</v>
      </c>
      <c r="E4" s="36" t="e">
        <f ca="1"/>
        <v>#NAME?</v>
      </c>
      <c r="F4" s="36" t="e">
        <f ca="1"/>
        <v>#NAME?</v>
      </c>
      <c r="G4" s="33" t="e">
        <f ca="1"/>
        <v>#NAME?</v>
      </c>
      <c r="H4" s="21" t="e">
        <f ca="1"/>
        <v>#NAME?</v>
      </c>
      <c r="I4" s="21" t="e">
        <f ca="1"/>
        <v>#NAME?</v>
      </c>
      <c r="J4" s="36" t="e">
        <f ca="1"/>
        <v>#NAME?</v>
      </c>
      <c r="K4" s="18" t="e">
        <f ca="1"/>
        <v>#NAME?</v>
      </c>
      <c r="L4" s="19" t="e">
        <f ca="1"/>
        <v>#NAME?</v>
      </c>
      <c r="M4" s="19" t="e">
        <f ca="1"/>
        <v>#NAME?</v>
      </c>
      <c r="N4" s="19" t="e">
        <f ca="1"/>
        <v>#NAME?</v>
      </c>
      <c r="O4" s="19" t="e">
        <f ca="1"/>
        <v>#NAME?</v>
      </c>
      <c r="P4" s="19" t="e">
        <f ca="1"/>
        <v>#NAME?</v>
      </c>
      <c r="Q4" s="19" t="e">
        <f ca="1"/>
        <v>#NAME?</v>
      </c>
      <c r="R4" s="19" t="e">
        <f ca="1"/>
        <v>#NAME?</v>
      </c>
      <c r="S4" s="19" t="e">
        <f ca="1"/>
        <v>#NAME?</v>
      </c>
      <c r="T4" s="19" t="e">
        <f ca="1"/>
        <v>#NAME?</v>
      </c>
      <c r="U4" s="19" t="e">
        <f ca="1"/>
        <v>#NAME?</v>
      </c>
      <c r="V4" s="19" t="e">
        <f ca="1"/>
        <v>#NAME?</v>
      </c>
      <c r="W4" s="19" t="e">
        <f ca="1"/>
        <v>#NAME?</v>
      </c>
      <c r="X4" s="19" t="e">
        <f ca="1"/>
        <v>#NAME?</v>
      </c>
      <c r="Y4" s="19" t="e">
        <f ca="1"/>
        <v>#NAME?</v>
      </c>
      <c r="Z4" s="19" t="e">
        <f ca="1"/>
        <v>#NAME?</v>
      </c>
      <c r="AA4" s="19" t="e">
        <f ca="1"/>
        <v>#NAME?</v>
      </c>
      <c r="AB4" s="19" t="e">
        <f ca="1"/>
        <v>#NAME?</v>
      </c>
      <c r="AC4" s="19" t="e">
        <f ca="1"/>
        <v>#NAME?</v>
      </c>
      <c r="AD4" s="19" t="e">
        <f ca="1"/>
        <v>#NAME?</v>
      </c>
      <c r="AE4" s="19" t="e">
        <f ca="1"/>
        <v>#NAME?</v>
      </c>
      <c r="AF4" s="19" t="e">
        <f ca="1"/>
        <v>#NAME?</v>
      </c>
      <c r="AG4" s="19" t="e">
        <f ca="1"/>
        <v>#NAME?</v>
      </c>
      <c r="AH4" s="19" t="e">
        <f ca="1"/>
        <v>#NAME?</v>
      </c>
      <c r="AI4" s="19" t="e">
        <f ca="1"/>
        <v>#NAME?</v>
      </c>
      <c r="AJ4" s="19" t="e">
        <f ca="1"/>
        <v>#NAME?</v>
      </c>
      <c r="AK4" s="19" t="e">
        <f ca="1"/>
        <v>#NAME?</v>
      </c>
      <c r="AL4" s="19" t="e">
        <f ca="1"/>
        <v>#NAME?</v>
      </c>
      <c r="AM4" s="19" t="e">
        <f ca="1"/>
        <v>#NAME?</v>
      </c>
      <c r="AN4" s="19" t="e">
        <f ca="1"/>
        <v>#NAME?</v>
      </c>
      <c r="AO4" s="19" t="e">
        <f ca="1"/>
        <v>#NAME?</v>
      </c>
      <c r="AP4" s="19" t="e">
        <f ca="1"/>
        <v>#NAME?</v>
      </c>
      <c r="AQ4" s="19" t="e">
        <f ca="1"/>
        <v>#NAME?</v>
      </c>
      <c r="AR4" s="19" t="e">
        <f ca="1"/>
        <v>#NAME?</v>
      </c>
    </row>
    <row r="5" spans="2:44" s="19" customFormat="1">
      <c r="B5" s="19" t="e">
        <f ca="1"/>
        <v>#NAME?</v>
      </c>
      <c r="C5" s="18" t="e">
        <f ca="1"/>
        <v>#NAME?</v>
      </c>
      <c r="D5" s="20" t="e">
        <f ca="1"/>
        <v>#NAME?</v>
      </c>
      <c r="E5" s="36" t="e">
        <f ca="1"/>
        <v>#NAME?</v>
      </c>
      <c r="F5" s="36" t="e">
        <f ca="1"/>
        <v>#NAME?</v>
      </c>
      <c r="G5" s="33" t="e">
        <f ca="1"/>
        <v>#NAME?</v>
      </c>
      <c r="H5" s="21" t="e">
        <f ca="1"/>
        <v>#NAME?</v>
      </c>
      <c r="I5" s="21" t="e">
        <f ca="1"/>
        <v>#NAME?</v>
      </c>
      <c r="J5" s="36" t="e">
        <f ca="1"/>
        <v>#NAME?</v>
      </c>
      <c r="K5" s="18" t="e">
        <f ca="1"/>
        <v>#NAME?</v>
      </c>
      <c r="L5" s="19" t="e">
        <f ca="1"/>
        <v>#NAME?</v>
      </c>
      <c r="M5" s="19" t="e">
        <f ca="1"/>
        <v>#NAME?</v>
      </c>
      <c r="N5" s="19" t="e">
        <f ca="1"/>
        <v>#NAME?</v>
      </c>
      <c r="O5" s="19" t="e">
        <f ca="1"/>
        <v>#NAME?</v>
      </c>
      <c r="P5" s="19" t="e">
        <f ca="1"/>
        <v>#NAME?</v>
      </c>
      <c r="Q5" s="19" t="e">
        <f ca="1"/>
        <v>#NAME?</v>
      </c>
      <c r="R5" s="19" t="e">
        <f ca="1"/>
        <v>#NAME?</v>
      </c>
      <c r="S5" s="19" t="e">
        <f ca="1"/>
        <v>#NAME?</v>
      </c>
      <c r="T5" s="19" t="e">
        <f ca="1"/>
        <v>#NAME?</v>
      </c>
      <c r="U5" s="19" t="e">
        <f ca="1"/>
        <v>#NAME?</v>
      </c>
      <c r="V5" s="19" t="e">
        <f ca="1"/>
        <v>#NAME?</v>
      </c>
      <c r="W5" s="19" t="e">
        <f ca="1"/>
        <v>#NAME?</v>
      </c>
      <c r="X5" s="19" t="e">
        <f ca="1"/>
        <v>#NAME?</v>
      </c>
      <c r="Y5" s="19" t="e">
        <f ca="1"/>
        <v>#NAME?</v>
      </c>
      <c r="Z5" s="19" t="e">
        <f ca="1"/>
        <v>#NAME?</v>
      </c>
      <c r="AA5" s="19" t="e">
        <f ca="1"/>
        <v>#NAME?</v>
      </c>
      <c r="AB5" s="19" t="e">
        <f ca="1"/>
        <v>#NAME?</v>
      </c>
      <c r="AC5" s="19" t="e">
        <f ca="1"/>
        <v>#NAME?</v>
      </c>
      <c r="AD5" s="19" t="e">
        <f ca="1"/>
        <v>#NAME?</v>
      </c>
      <c r="AE5" s="19" t="e">
        <f ca="1"/>
        <v>#NAME?</v>
      </c>
      <c r="AF5" s="19" t="e">
        <f ca="1"/>
        <v>#NAME?</v>
      </c>
      <c r="AG5" s="19" t="e">
        <f ca="1"/>
        <v>#NAME?</v>
      </c>
      <c r="AH5" s="19" t="e">
        <f ca="1"/>
        <v>#NAME?</v>
      </c>
      <c r="AI5" s="19" t="e">
        <f ca="1"/>
        <v>#NAME?</v>
      </c>
      <c r="AJ5" s="19" t="e">
        <f ca="1"/>
        <v>#NAME?</v>
      </c>
      <c r="AK5" s="19" t="e">
        <f ca="1"/>
        <v>#NAME?</v>
      </c>
      <c r="AL5" s="19" t="e">
        <f ca="1"/>
        <v>#NAME?</v>
      </c>
      <c r="AM5" s="19" t="e">
        <f ca="1"/>
        <v>#NAME?</v>
      </c>
      <c r="AN5" s="19" t="e">
        <f ca="1"/>
        <v>#NAME?</v>
      </c>
      <c r="AO5" s="19" t="e">
        <f ca="1"/>
        <v>#NAME?</v>
      </c>
      <c r="AP5" s="19" t="e">
        <f ca="1"/>
        <v>#NAME?</v>
      </c>
      <c r="AQ5" s="19" t="e">
        <f ca="1"/>
        <v>#NAME?</v>
      </c>
      <c r="AR5" s="19" t="e">
        <f ca="1"/>
        <v>#NAME?</v>
      </c>
    </row>
    <row r="6" spans="2:44" s="19" customFormat="1">
      <c r="B6" s="19" t="e">
        <f ca="1"/>
        <v>#NAME?</v>
      </c>
      <c r="C6" s="18" t="e">
        <f ca="1"/>
        <v>#NAME?</v>
      </c>
      <c r="D6" s="20" t="e">
        <f ca="1"/>
        <v>#NAME?</v>
      </c>
      <c r="E6" s="36" t="e">
        <f ca="1"/>
        <v>#NAME?</v>
      </c>
      <c r="F6" s="36" t="e">
        <f ca="1"/>
        <v>#NAME?</v>
      </c>
      <c r="G6" s="33" t="e">
        <f ca="1"/>
        <v>#NAME?</v>
      </c>
      <c r="H6" s="21" t="e">
        <f ca="1"/>
        <v>#NAME?</v>
      </c>
      <c r="I6" s="21" t="e">
        <f ca="1"/>
        <v>#NAME?</v>
      </c>
      <c r="J6" s="36" t="e">
        <f ca="1"/>
        <v>#NAME?</v>
      </c>
      <c r="K6" s="18" t="e">
        <f ca="1"/>
        <v>#NAME?</v>
      </c>
      <c r="L6" s="19" t="e">
        <f ca="1"/>
        <v>#NAME?</v>
      </c>
      <c r="M6" s="19" t="e">
        <f ca="1"/>
        <v>#NAME?</v>
      </c>
      <c r="N6" s="19" t="e">
        <f ca="1"/>
        <v>#NAME?</v>
      </c>
      <c r="O6" s="19" t="e">
        <f ca="1"/>
        <v>#NAME?</v>
      </c>
      <c r="P6" s="19" t="e">
        <f ca="1"/>
        <v>#NAME?</v>
      </c>
      <c r="Q6" s="19" t="e">
        <f ca="1"/>
        <v>#NAME?</v>
      </c>
      <c r="R6" s="19" t="e">
        <f ca="1"/>
        <v>#NAME?</v>
      </c>
      <c r="S6" s="19" t="e">
        <f ca="1"/>
        <v>#NAME?</v>
      </c>
      <c r="T6" s="19" t="e">
        <f ca="1"/>
        <v>#NAME?</v>
      </c>
      <c r="U6" s="19" t="e">
        <f ca="1"/>
        <v>#NAME?</v>
      </c>
      <c r="V6" s="19" t="e">
        <f ca="1"/>
        <v>#NAME?</v>
      </c>
      <c r="W6" s="19" t="e">
        <f ca="1"/>
        <v>#NAME?</v>
      </c>
      <c r="X6" s="19" t="e">
        <f ca="1"/>
        <v>#NAME?</v>
      </c>
      <c r="Y6" s="19" t="e">
        <f ca="1"/>
        <v>#NAME?</v>
      </c>
      <c r="Z6" s="19" t="e">
        <f ca="1"/>
        <v>#NAME?</v>
      </c>
      <c r="AA6" s="19" t="e">
        <f ca="1"/>
        <v>#NAME?</v>
      </c>
      <c r="AB6" s="19" t="e">
        <f ca="1"/>
        <v>#NAME?</v>
      </c>
      <c r="AC6" s="19" t="e">
        <f ca="1"/>
        <v>#NAME?</v>
      </c>
      <c r="AD6" s="19" t="e">
        <f ca="1"/>
        <v>#NAME?</v>
      </c>
      <c r="AE6" s="19" t="e">
        <f ca="1"/>
        <v>#NAME?</v>
      </c>
      <c r="AF6" s="19" t="e">
        <f ca="1"/>
        <v>#NAME?</v>
      </c>
      <c r="AG6" s="19" t="e">
        <f ca="1"/>
        <v>#NAME?</v>
      </c>
      <c r="AH6" s="19" t="e">
        <f ca="1"/>
        <v>#NAME?</v>
      </c>
      <c r="AI6" s="19" t="e">
        <f ca="1"/>
        <v>#NAME?</v>
      </c>
      <c r="AJ6" s="19" t="e">
        <f ca="1"/>
        <v>#NAME?</v>
      </c>
      <c r="AK6" s="19" t="e">
        <f ca="1"/>
        <v>#NAME?</v>
      </c>
      <c r="AL6" s="19" t="e">
        <f ca="1"/>
        <v>#NAME?</v>
      </c>
      <c r="AM6" s="19" t="e">
        <f ca="1"/>
        <v>#NAME?</v>
      </c>
      <c r="AN6" s="19" t="e">
        <f ca="1"/>
        <v>#NAME?</v>
      </c>
      <c r="AO6" s="19" t="e">
        <f ca="1"/>
        <v>#NAME?</v>
      </c>
      <c r="AP6" s="19" t="e">
        <f ca="1"/>
        <v>#NAME?</v>
      </c>
      <c r="AQ6" s="19" t="e">
        <f ca="1"/>
        <v>#NAME?</v>
      </c>
      <c r="AR6" s="19" t="e">
        <f ca="1"/>
        <v>#NAME?</v>
      </c>
    </row>
    <row r="7" spans="2:44" s="19" customFormat="1">
      <c r="B7" s="19" t="e">
        <f ca="1"/>
        <v>#NAME?</v>
      </c>
      <c r="C7" s="18" t="e">
        <f ca="1"/>
        <v>#NAME?</v>
      </c>
      <c r="D7" s="20" t="e">
        <f ca="1"/>
        <v>#NAME?</v>
      </c>
      <c r="E7" s="36" t="e">
        <f ca="1"/>
        <v>#NAME?</v>
      </c>
      <c r="F7" s="36" t="e">
        <f ca="1"/>
        <v>#NAME?</v>
      </c>
      <c r="G7" s="33" t="e">
        <f ca="1"/>
        <v>#NAME?</v>
      </c>
      <c r="H7" s="21" t="e">
        <f ca="1"/>
        <v>#NAME?</v>
      </c>
      <c r="I7" s="21" t="e">
        <f ca="1"/>
        <v>#NAME?</v>
      </c>
      <c r="J7" s="36" t="e">
        <f ca="1"/>
        <v>#NAME?</v>
      </c>
      <c r="K7" s="18" t="e">
        <f ca="1"/>
        <v>#NAME?</v>
      </c>
      <c r="L7" s="19" t="e">
        <f ca="1"/>
        <v>#NAME?</v>
      </c>
      <c r="M7" s="19" t="e">
        <f ca="1"/>
        <v>#NAME?</v>
      </c>
      <c r="N7" s="19" t="e">
        <f ca="1"/>
        <v>#NAME?</v>
      </c>
      <c r="O7" s="19" t="e">
        <f ca="1"/>
        <v>#NAME?</v>
      </c>
      <c r="P7" s="19" t="e">
        <f ca="1"/>
        <v>#NAME?</v>
      </c>
      <c r="Q7" s="19" t="e">
        <f ca="1"/>
        <v>#NAME?</v>
      </c>
      <c r="R7" s="19" t="e">
        <f ca="1"/>
        <v>#NAME?</v>
      </c>
      <c r="S7" s="19" t="e">
        <f ca="1"/>
        <v>#NAME?</v>
      </c>
      <c r="T7" s="19" t="e">
        <f ca="1"/>
        <v>#NAME?</v>
      </c>
      <c r="U7" s="19" t="e">
        <f ca="1"/>
        <v>#NAME?</v>
      </c>
      <c r="V7" s="19" t="e">
        <f ca="1"/>
        <v>#NAME?</v>
      </c>
      <c r="W7" s="19" t="e">
        <f ca="1"/>
        <v>#NAME?</v>
      </c>
      <c r="X7" s="19" t="e">
        <f ca="1"/>
        <v>#NAME?</v>
      </c>
      <c r="Y7" s="19" t="e">
        <f ca="1"/>
        <v>#NAME?</v>
      </c>
      <c r="Z7" s="19" t="e">
        <f ca="1"/>
        <v>#NAME?</v>
      </c>
      <c r="AA7" s="19" t="e">
        <f ca="1"/>
        <v>#NAME?</v>
      </c>
      <c r="AB7" s="19" t="e">
        <f ca="1"/>
        <v>#NAME?</v>
      </c>
      <c r="AC7" s="19" t="e">
        <f ca="1"/>
        <v>#NAME?</v>
      </c>
      <c r="AD7" s="19" t="e">
        <f ca="1"/>
        <v>#NAME?</v>
      </c>
      <c r="AE7" s="19" t="e">
        <f ca="1"/>
        <v>#NAME?</v>
      </c>
      <c r="AF7" s="19" t="e">
        <f ca="1"/>
        <v>#NAME?</v>
      </c>
      <c r="AG7" s="19" t="e">
        <f ca="1"/>
        <v>#NAME?</v>
      </c>
      <c r="AH7" s="19" t="e">
        <f ca="1"/>
        <v>#NAME?</v>
      </c>
      <c r="AI7" s="19" t="e">
        <f ca="1"/>
        <v>#NAME?</v>
      </c>
      <c r="AJ7" s="19" t="e">
        <f ca="1"/>
        <v>#NAME?</v>
      </c>
      <c r="AK7" s="19" t="e">
        <f ca="1"/>
        <v>#NAME?</v>
      </c>
      <c r="AL7" s="19" t="e">
        <f ca="1"/>
        <v>#NAME?</v>
      </c>
      <c r="AM7" s="19" t="e">
        <f ca="1"/>
        <v>#NAME?</v>
      </c>
      <c r="AN7" s="19" t="e">
        <f ca="1"/>
        <v>#NAME?</v>
      </c>
      <c r="AO7" s="19" t="e">
        <f ca="1"/>
        <v>#NAME?</v>
      </c>
      <c r="AP7" s="19" t="e">
        <f ca="1"/>
        <v>#NAME?</v>
      </c>
      <c r="AQ7" s="19" t="e">
        <f ca="1"/>
        <v>#NAME?</v>
      </c>
      <c r="AR7" s="19" t="e">
        <f ca="1"/>
        <v>#NAME?</v>
      </c>
    </row>
    <row r="8" spans="2:44" s="19" customFormat="1">
      <c r="B8" s="19" t="e">
        <f ca="1"/>
        <v>#NAME?</v>
      </c>
      <c r="C8" s="18" t="e">
        <f ca="1"/>
        <v>#NAME?</v>
      </c>
      <c r="D8" s="20" t="e">
        <f ca="1"/>
        <v>#NAME?</v>
      </c>
      <c r="E8" s="36" t="e">
        <f ca="1"/>
        <v>#NAME?</v>
      </c>
      <c r="F8" s="36" t="e">
        <f ca="1"/>
        <v>#NAME?</v>
      </c>
      <c r="G8" s="33" t="e">
        <f ca="1"/>
        <v>#NAME?</v>
      </c>
      <c r="H8" s="21" t="e">
        <f ca="1"/>
        <v>#NAME?</v>
      </c>
      <c r="I8" s="21" t="e">
        <f ca="1"/>
        <v>#NAME?</v>
      </c>
      <c r="J8" s="36" t="e">
        <f ca="1"/>
        <v>#NAME?</v>
      </c>
      <c r="K8" s="18" t="e">
        <f ca="1"/>
        <v>#NAME?</v>
      </c>
      <c r="L8" s="19" t="e">
        <f ca="1"/>
        <v>#NAME?</v>
      </c>
      <c r="M8" s="19" t="e">
        <f ca="1"/>
        <v>#NAME?</v>
      </c>
      <c r="N8" s="19" t="e">
        <f ca="1"/>
        <v>#NAME?</v>
      </c>
      <c r="O8" s="19" t="e">
        <f ca="1"/>
        <v>#NAME?</v>
      </c>
      <c r="P8" s="19" t="e">
        <f ca="1"/>
        <v>#NAME?</v>
      </c>
      <c r="Q8" s="19" t="e">
        <f ca="1"/>
        <v>#NAME?</v>
      </c>
      <c r="R8" s="19" t="e">
        <f ca="1"/>
        <v>#NAME?</v>
      </c>
      <c r="S8" s="19" t="e">
        <f ca="1"/>
        <v>#NAME?</v>
      </c>
      <c r="T8" s="19" t="e">
        <f ca="1"/>
        <v>#NAME?</v>
      </c>
      <c r="U8" s="19" t="e">
        <f ca="1"/>
        <v>#NAME?</v>
      </c>
      <c r="V8" s="19" t="e">
        <f ca="1"/>
        <v>#NAME?</v>
      </c>
      <c r="W8" s="19" t="e">
        <f ca="1"/>
        <v>#NAME?</v>
      </c>
      <c r="X8" s="19" t="e">
        <f ca="1"/>
        <v>#NAME?</v>
      </c>
      <c r="Y8" s="19" t="e">
        <f ca="1"/>
        <v>#NAME?</v>
      </c>
      <c r="Z8" s="19" t="e">
        <f ca="1"/>
        <v>#NAME?</v>
      </c>
      <c r="AA8" s="19" t="e">
        <f ca="1"/>
        <v>#NAME?</v>
      </c>
      <c r="AB8" s="19" t="e">
        <f ca="1"/>
        <v>#NAME?</v>
      </c>
      <c r="AC8" s="19" t="e">
        <f ca="1"/>
        <v>#NAME?</v>
      </c>
      <c r="AD8" s="19" t="e">
        <f ca="1"/>
        <v>#NAME?</v>
      </c>
      <c r="AE8" s="19" t="e">
        <f ca="1"/>
        <v>#NAME?</v>
      </c>
      <c r="AF8" s="19" t="e">
        <f ca="1"/>
        <v>#NAME?</v>
      </c>
      <c r="AG8" s="19" t="e">
        <f ca="1"/>
        <v>#NAME?</v>
      </c>
      <c r="AH8" s="19" t="e">
        <f ca="1"/>
        <v>#NAME?</v>
      </c>
      <c r="AI8" s="19" t="e">
        <f ca="1"/>
        <v>#NAME?</v>
      </c>
      <c r="AJ8" s="19" t="e">
        <f ca="1"/>
        <v>#NAME?</v>
      </c>
      <c r="AK8" s="19" t="e">
        <f ca="1"/>
        <v>#NAME?</v>
      </c>
      <c r="AL8" s="19" t="e">
        <f ca="1"/>
        <v>#NAME?</v>
      </c>
      <c r="AM8" s="19" t="e">
        <f ca="1"/>
        <v>#NAME?</v>
      </c>
      <c r="AN8" s="19" t="e">
        <f ca="1"/>
        <v>#NAME?</v>
      </c>
      <c r="AO8" s="19" t="e">
        <f ca="1"/>
        <v>#NAME?</v>
      </c>
      <c r="AP8" s="19" t="e">
        <f ca="1"/>
        <v>#NAME?</v>
      </c>
      <c r="AQ8" s="19" t="e">
        <f ca="1"/>
        <v>#NAME?</v>
      </c>
      <c r="AR8" s="19" t="e">
        <f ca="1"/>
        <v>#NAME?</v>
      </c>
    </row>
    <row r="9" spans="2:44" s="19" customFormat="1">
      <c r="B9" s="19" t="e">
        <f ca="1"/>
        <v>#NAME?</v>
      </c>
      <c r="C9" s="18" t="e">
        <f ca="1"/>
        <v>#NAME?</v>
      </c>
      <c r="D9" s="20" t="e">
        <f ca="1"/>
        <v>#NAME?</v>
      </c>
      <c r="E9" s="36" t="e">
        <f ca="1"/>
        <v>#NAME?</v>
      </c>
      <c r="F9" s="36" t="e">
        <f ca="1"/>
        <v>#NAME?</v>
      </c>
      <c r="G9" s="33" t="e">
        <f ca="1"/>
        <v>#NAME?</v>
      </c>
      <c r="H9" s="21" t="e">
        <f ca="1"/>
        <v>#NAME?</v>
      </c>
      <c r="I9" s="21" t="e">
        <f ca="1"/>
        <v>#NAME?</v>
      </c>
      <c r="J9" s="36" t="e">
        <f ca="1"/>
        <v>#NAME?</v>
      </c>
      <c r="K9" s="18" t="e">
        <f ca="1"/>
        <v>#NAME?</v>
      </c>
      <c r="L9" s="19" t="e">
        <f ca="1"/>
        <v>#NAME?</v>
      </c>
      <c r="M9" s="19" t="e">
        <f ca="1"/>
        <v>#NAME?</v>
      </c>
      <c r="N9" s="19" t="e">
        <f ca="1"/>
        <v>#NAME?</v>
      </c>
      <c r="O9" s="19" t="e">
        <f ca="1"/>
        <v>#NAME?</v>
      </c>
      <c r="P9" s="19" t="e">
        <f ca="1"/>
        <v>#NAME?</v>
      </c>
      <c r="Q9" s="19" t="e">
        <f ca="1"/>
        <v>#NAME?</v>
      </c>
      <c r="R9" s="19" t="e">
        <f ca="1"/>
        <v>#NAME?</v>
      </c>
      <c r="S9" s="19" t="e">
        <f ca="1"/>
        <v>#NAME?</v>
      </c>
      <c r="T9" s="19" t="e">
        <f ca="1"/>
        <v>#NAME?</v>
      </c>
      <c r="U9" s="19" t="e">
        <f ca="1"/>
        <v>#NAME?</v>
      </c>
      <c r="V9" s="19" t="e">
        <f ca="1"/>
        <v>#NAME?</v>
      </c>
      <c r="W9" s="19" t="e">
        <f ca="1"/>
        <v>#NAME?</v>
      </c>
      <c r="X9" s="19" t="e">
        <f ca="1"/>
        <v>#NAME?</v>
      </c>
      <c r="Y9" s="19" t="e">
        <f ca="1"/>
        <v>#NAME?</v>
      </c>
      <c r="Z9" s="19" t="e">
        <f ca="1"/>
        <v>#NAME?</v>
      </c>
      <c r="AA9" s="19" t="e">
        <f ca="1"/>
        <v>#NAME?</v>
      </c>
      <c r="AB9" s="19" t="e">
        <f ca="1"/>
        <v>#NAME?</v>
      </c>
      <c r="AC9" s="19" t="e">
        <f ca="1"/>
        <v>#NAME?</v>
      </c>
      <c r="AD9" s="19" t="e">
        <f ca="1"/>
        <v>#NAME?</v>
      </c>
      <c r="AE9" s="19" t="e">
        <f ca="1"/>
        <v>#NAME?</v>
      </c>
      <c r="AF9" s="19" t="e">
        <f ca="1"/>
        <v>#NAME?</v>
      </c>
      <c r="AG9" s="19" t="e">
        <f ca="1"/>
        <v>#NAME?</v>
      </c>
      <c r="AH9" s="19" t="e">
        <f ca="1"/>
        <v>#NAME?</v>
      </c>
      <c r="AI9" s="19" t="e">
        <f ca="1"/>
        <v>#NAME?</v>
      </c>
      <c r="AJ9" s="19" t="e">
        <f ca="1"/>
        <v>#NAME?</v>
      </c>
      <c r="AK9" s="19" t="e">
        <f ca="1"/>
        <v>#NAME?</v>
      </c>
      <c r="AL9" s="19" t="e">
        <f ca="1"/>
        <v>#NAME?</v>
      </c>
      <c r="AM9" s="19" t="e">
        <f ca="1"/>
        <v>#NAME?</v>
      </c>
      <c r="AN9" s="19" t="e">
        <f ca="1"/>
        <v>#NAME?</v>
      </c>
      <c r="AO9" s="19" t="e">
        <f ca="1"/>
        <v>#NAME?</v>
      </c>
      <c r="AP9" s="19" t="e">
        <f ca="1"/>
        <v>#NAME?</v>
      </c>
      <c r="AQ9" s="19" t="e">
        <f ca="1"/>
        <v>#NAME?</v>
      </c>
      <c r="AR9" s="19" t="e">
        <f ca="1"/>
        <v>#NAME?</v>
      </c>
    </row>
    <row r="10" spans="2:44" s="19" customFormat="1">
      <c r="B10" s="19" t="e">
        <f ca="1"/>
        <v>#NAME?</v>
      </c>
      <c r="C10" s="18" t="e">
        <f ca="1"/>
        <v>#NAME?</v>
      </c>
      <c r="D10" s="20" t="e">
        <f ca="1"/>
        <v>#NAME?</v>
      </c>
      <c r="E10" s="36" t="e">
        <f ca="1"/>
        <v>#NAME?</v>
      </c>
      <c r="F10" s="36" t="e">
        <f ca="1"/>
        <v>#NAME?</v>
      </c>
      <c r="G10" s="33" t="e">
        <f ca="1"/>
        <v>#NAME?</v>
      </c>
      <c r="H10" s="21" t="e">
        <f ca="1"/>
        <v>#NAME?</v>
      </c>
      <c r="I10" s="21" t="e">
        <f ca="1"/>
        <v>#NAME?</v>
      </c>
      <c r="J10" s="36" t="e">
        <f ca="1"/>
        <v>#NAME?</v>
      </c>
      <c r="K10" s="18" t="e">
        <f ca="1"/>
        <v>#NAME?</v>
      </c>
      <c r="L10" s="19" t="e">
        <f ca="1"/>
        <v>#NAME?</v>
      </c>
      <c r="M10" s="19" t="e">
        <f ca="1"/>
        <v>#NAME?</v>
      </c>
      <c r="N10" s="19" t="e">
        <f ca="1"/>
        <v>#NAME?</v>
      </c>
      <c r="O10" s="19" t="e">
        <f ca="1"/>
        <v>#NAME?</v>
      </c>
      <c r="P10" s="19" t="e">
        <f ca="1"/>
        <v>#NAME?</v>
      </c>
      <c r="Q10" s="19" t="e">
        <f ca="1"/>
        <v>#NAME?</v>
      </c>
      <c r="R10" s="19" t="e">
        <f ca="1"/>
        <v>#NAME?</v>
      </c>
      <c r="S10" s="19" t="e">
        <f ca="1"/>
        <v>#NAME?</v>
      </c>
      <c r="T10" s="19" t="e">
        <f ca="1"/>
        <v>#NAME?</v>
      </c>
      <c r="U10" s="19" t="e">
        <f ca="1"/>
        <v>#NAME?</v>
      </c>
      <c r="V10" s="19" t="e">
        <f ca="1"/>
        <v>#NAME?</v>
      </c>
      <c r="W10" s="19" t="e">
        <f ca="1"/>
        <v>#NAME?</v>
      </c>
      <c r="X10" s="19" t="e">
        <f ca="1"/>
        <v>#NAME?</v>
      </c>
      <c r="Y10" s="19" t="e">
        <f ca="1"/>
        <v>#NAME?</v>
      </c>
      <c r="Z10" s="19" t="e">
        <f ca="1"/>
        <v>#NAME?</v>
      </c>
      <c r="AA10" s="19" t="e">
        <f ca="1"/>
        <v>#NAME?</v>
      </c>
      <c r="AB10" s="19" t="e">
        <f ca="1"/>
        <v>#NAME?</v>
      </c>
      <c r="AC10" s="19" t="e">
        <f ca="1"/>
        <v>#NAME?</v>
      </c>
      <c r="AD10" s="19" t="e">
        <f ca="1"/>
        <v>#NAME?</v>
      </c>
      <c r="AE10" s="19" t="e">
        <f ca="1"/>
        <v>#NAME?</v>
      </c>
      <c r="AF10" s="19" t="e">
        <f ca="1"/>
        <v>#NAME?</v>
      </c>
      <c r="AG10" s="19" t="e">
        <f ca="1"/>
        <v>#NAME?</v>
      </c>
      <c r="AH10" s="19" t="e">
        <f ca="1"/>
        <v>#NAME?</v>
      </c>
      <c r="AI10" s="19" t="e">
        <f ca="1"/>
        <v>#NAME?</v>
      </c>
      <c r="AJ10" s="19" t="e">
        <f ca="1"/>
        <v>#NAME?</v>
      </c>
      <c r="AK10" s="19" t="e">
        <f ca="1"/>
        <v>#NAME?</v>
      </c>
      <c r="AL10" s="19" t="e">
        <f ca="1"/>
        <v>#NAME?</v>
      </c>
      <c r="AM10" s="19" t="e">
        <f ca="1"/>
        <v>#NAME?</v>
      </c>
      <c r="AN10" s="19" t="e">
        <f ca="1"/>
        <v>#NAME?</v>
      </c>
      <c r="AO10" s="19" t="e">
        <f ca="1"/>
        <v>#NAME?</v>
      </c>
      <c r="AP10" s="19" t="e">
        <f ca="1"/>
        <v>#NAME?</v>
      </c>
      <c r="AQ10" s="19" t="e">
        <f ca="1"/>
        <v>#NAME?</v>
      </c>
      <c r="AR10" s="19" t="e">
        <f ca="1"/>
        <v>#NAME?</v>
      </c>
    </row>
    <row r="11" spans="2:44" s="19" customFormat="1">
      <c r="B11" s="19" t="e">
        <f ca="1"/>
        <v>#NAME?</v>
      </c>
      <c r="C11" s="18" t="e">
        <f ca="1"/>
        <v>#NAME?</v>
      </c>
      <c r="D11" s="20" t="e">
        <f ca="1"/>
        <v>#NAME?</v>
      </c>
      <c r="E11" s="36" t="e">
        <f ca="1"/>
        <v>#NAME?</v>
      </c>
      <c r="F11" s="36" t="e">
        <f ca="1"/>
        <v>#NAME?</v>
      </c>
      <c r="G11" s="33" t="e">
        <f ca="1"/>
        <v>#NAME?</v>
      </c>
      <c r="H11" s="21" t="e">
        <f ca="1"/>
        <v>#NAME?</v>
      </c>
      <c r="I11" s="21" t="e">
        <f ca="1"/>
        <v>#NAME?</v>
      </c>
      <c r="J11" s="36" t="e">
        <f ca="1"/>
        <v>#NAME?</v>
      </c>
      <c r="K11" s="18" t="e">
        <f ca="1"/>
        <v>#NAME?</v>
      </c>
      <c r="L11" s="19" t="e">
        <f ca="1"/>
        <v>#NAME?</v>
      </c>
      <c r="M11" s="19" t="e">
        <f ca="1"/>
        <v>#NAME?</v>
      </c>
      <c r="N11" s="19" t="e">
        <f ca="1"/>
        <v>#NAME?</v>
      </c>
      <c r="O11" s="19" t="e">
        <f ca="1"/>
        <v>#NAME?</v>
      </c>
      <c r="P11" s="19" t="e">
        <f ca="1"/>
        <v>#NAME?</v>
      </c>
      <c r="Q11" s="19" t="e">
        <f ca="1"/>
        <v>#NAME?</v>
      </c>
      <c r="R11" s="19" t="e">
        <f ca="1"/>
        <v>#NAME?</v>
      </c>
      <c r="S11" s="19" t="e">
        <f ca="1"/>
        <v>#NAME?</v>
      </c>
      <c r="T11" s="19" t="e">
        <f ca="1"/>
        <v>#NAME?</v>
      </c>
      <c r="U11" s="19" t="e">
        <f ca="1"/>
        <v>#NAME?</v>
      </c>
      <c r="V11" s="19" t="e">
        <f ca="1"/>
        <v>#NAME?</v>
      </c>
      <c r="W11" s="19" t="e">
        <f ca="1"/>
        <v>#NAME?</v>
      </c>
      <c r="X11" s="19" t="e">
        <f ca="1"/>
        <v>#NAME?</v>
      </c>
      <c r="Y11" s="19" t="e">
        <f ca="1"/>
        <v>#NAME?</v>
      </c>
      <c r="Z11" s="19" t="e">
        <f ca="1"/>
        <v>#NAME?</v>
      </c>
      <c r="AA11" s="19" t="e">
        <f ca="1"/>
        <v>#NAME?</v>
      </c>
      <c r="AB11" s="19" t="e">
        <f ca="1"/>
        <v>#NAME?</v>
      </c>
      <c r="AC11" s="19" t="e">
        <f ca="1"/>
        <v>#NAME?</v>
      </c>
      <c r="AD11" s="19" t="e">
        <f ca="1"/>
        <v>#NAME?</v>
      </c>
      <c r="AE11" s="19" t="e">
        <f ca="1"/>
        <v>#NAME?</v>
      </c>
      <c r="AF11" s="19" t="e">
        <f ca="1"/>
        <v>#NAME?</v>
      </c>
      <c r="AG11" s="19" t="e">
        <f ca="1"/>
        <v>#NAME?</v>
      </c>
      <c r="AH11" s="19" t="e">
        <f ca="1"/>
        <v>#NAME?</v>
      </c>
      <c r="AI11" s="19" t="e">
        <f ca="1"/>
        <v>#NAME?</v>
      </c>
      <c r="AJ11" s="19" t="e">
        <f ca="1"/>
        <v>#NAME?</v>
      </c>
      <c r="AK11" s="19" t="e">
        <f ca="1"/>
        <v>#NAME?</v>
      </c>
      <c r="AL11" s="19" t="e">
        <f ca="1"/>
        <v>#NAME?</v>
      </c>
      <c r="AM11" s="19" t="e">
        <f ca="1"/>
        <v>#NAME?</v>
      </c>
      <c r="AN11" s="19" t="e">
        <f ca="1"/>
        <v>#NAME?</v>
      </c>
      <c r="AO11" s="19" t="e">
        <f ca="1"/>
        <v>#NAME?</v>
      </c>
      <c r="AP11" s="19" t="e">
        <f ca="1"/>
        <v>#NAME?</v>
      </c>
      <c r="AQ11" s="19" t="e">
        <f ca="1"/>
        <v>#NAME?</v>
      </c>
      <c r="AR11" s="19" t="e">
        <f ca="1"/>
        <v>#NAME?</v>
      </c>
    </row>
    <row r="12" spans="2:44" s="19" customFormat="1">
      <c r="B12" s="19" t="e">
        <f ca="1"/>
        <v>#NAME?</v>
      </c>
      <c r="C12" s="18" t="e">
        <f ca="1"/>
        <v>#NAME?</v>
      </c>
      <c r="D12" s="20" t="e">
        <f ca="1"/>
        <v>#NAME?</v>
      </c>
      <c r="E12" s="36" t="e">
        <f ca="1"/>
        <v>#NAME?</v>
      </c>
      <c r="F12" s="36" t="e">
        <f ca="1"/>
        <v>#NAME?</v>
      </c>
      <c r="G12" s="33" t="e">
        <f ca="1"/>
        <v>#NAME?</v>
      </c>
      <c r="H12" s="21" t="e">
        <f ca="1"/>
        <v>#NAME?</v>
      </c>
      <c r="I12" s="21" t="e">
        <f ca="1"/>
        <v>#NAME?</v>
      </c>
      <c r="J12" s="36" t="e">
        <f ca="1"/>
        <v>#NAME?</v>
      </c>
      <c r="K12" s="18" t="e">
        <f ca="1"/>
        <v>#NAME?</v>
      </c>
      <c r="L12" s="19" t="e">
        <f ca="1"/>
        <v>#NAME?</v>
      </c>
      <c r="M12" s="19" t="e">
        <f ca="1"/>
        <v>#NAME?</v>
      </c>
      <c r="N12" s="19" t="e">
        <f ca="1"/>
        <v>#NAME?</v>
      </c>
      <c r="O12" s="19" t="e">
        <f ca="1"/>
        <v>#NAME?</v>
      </c>
      <c r="P12" s="19" t="e">
        <f ca="1"/>
        <v>#NAME?</v>
      </c>
      <c r="Q12" s="19" t="e">
        <f ca="1"/>
        <v>#NAME?</v>
      </c>
      <c r="R12" s="19" t="e">
        <f ca="1"/>
        <v>#NAME?</v>
      </c>
      <c r="S12" s="19" t="e">
        <f ca="1"/>
        <v>#NAME?</v>
      </c>
      <c r="T12" s="19" t="e">
        <f ca="1"/>
        <v>#NAME?</v>
      </c>
      <c r="U12" s="19" t="e">
        <f ca="1"/>
        <v>#NAME?</v>
      </c>
      <c r="V12" s="19" t="e">
        <f ca="1"/>
        <v>#NAME?</v>
      </c>
      <c r="W12" s="19" t="e">
        <f ca="1"/>
        <v>#NAME?</v>
      </c>
      <c r="X12" s="19" t="e">
        <f ca="1"/>
        <v>#NAME?</v>
      </c>
      <c r="Y12" s="19" t="e">
        <f ca="1"/>
        <v>#NAME?</v>
      </c>
      <c r="Z12" s="19" t="e">
        <f ca="1"/>
        <v>#NAME?</v>
      </c>
      <c r="AA12" s="19" t="e">
        <f ca="1"/>
        <v>#NAME?</v>
      </c>
      <c r="AB12" s="19" t="e">
        <f ca="1"/>
        <v>#NAME?</v>
      </c>
      <c r="AC12" s="19" t="e">
        <f ca="1"/>
        <v>#NAME?</v>
      </c>
      <c r="AD12" s="19" t="e">
        <f ca="1"/>
        <v>#NAME?</v>
      </c>
      <c r="AE12" s="19" t="e">
        <f ca="1"/>
        <v>#NAME?</v>
      </c>
      <c r="AF12" s="19" t="e">
        <f ca="1"/>
        <v>#NAME?</v>
      </c>
      <c r="AG12" s="19" t="e">
        <f ca="1"/>
        <v>#NAME?</v>
      </c>
      <c r="AH12" s="19" t="e">
        <f ca="1"/>
        <v>#NAME?</v>
      </c>
      <c r="AI12" s="19" t="e">
        <f ca="1"/>
        <v>#NAME?</v>
      </c>
      <c r="AJ12" s="19" t="e">
        <f ca="1"/>
        <v>#NAME?</v>
      </c>
      <c r="AK12" s="19" t="e">
        <f ca="1"/>
        <v>#NAME?</v>
      </c>
      <c r="AL12" s="19" t="e">
        <f ca="1"/>
        <v>#NAME?</v>
      </c>
      <c r="AM12" s="19" t="e">
        <f ca="1"/>
        <v>#NAME?</v>
      </c>
      <c r="AN12" s="19" t="e">
        <f ca="1"/>
        <v>#NAME?</v>
      </c>
      <c r="AO12" s="19" t="e">
        <f ca="1"/>
        <v>#NAME?</v>
      </c>
      <c r="AP12" s="19" t="e">
        <f ca="1"/>
        <v>#NAME?</v>
      </c>
      <c r="AQ12" s="19" t="e">
        <f ca="1"/>
        <v>#NAME?</v>
      </c>
      <c r="AR12" s="19" t="e">
        <f ca="1"/>
        <v>#NAME?</v>
      </c>
    </row>
    <row r="13" spans="2:44">
      <c r="B13" t="e">
        <f ca="1"/>
        <v>#NAME?</v>
      </c>
      <c r="C13" t="e">
        <f ca="1"/>
        <v>#NAME?</v>
      </c>
      <c r="D13" t="e">
        <f ca="1"/>
        <v>#NAME?</v>
      </c>
      <c r="E13" t="e">
        <f ca="1"/>
        <v>#NAME?</v>
      </c>
      <c r="F13" t="e">
        <f ca="1"/>
        <v>#NAME?</v>
      </c>
      <c r="G13" t="e">
        <f ca="1"/>
        <v>#NAME?</v>
      </c>
      <c r="H13" t="e">
        <f ca="1"/>
        <v>#NAME?</v>
      </c>
      <c r="I13" t="e">
        <f ca="1"/>
        <v>#NAME?</v>
      </c>
      <c r="J13" t="e">
        <f ca="1"/>
        <v>#NAME?</v>
      </c>
      <c r="K13" t="e">
        <f ca="1"/>
        <v>#NAME?</v>
      </c>
      <c r="L13" t="e">
        <f ca="1"/>
        <v>#NAME?</v>
      </c>
      <c r="M13" t="e">
        <f ca="1"/>
        <v>#NAME?</v>
      </c>
      <c r="N13" t="e">
        <f ca="1"/>
        <v>#NAME?</v>
      </c>
      <c r="O13" t="e">
        <f ca="1"/>
        <v>#NAME?</v>
      </c>
      <c r="P13" t="e">
        <f ca="1"/>
        <v>#NAME?</v>
      </c>
      <c r="Q13" t="e">
        <f ca="1"/>
        <v>#NAME?</v>
      </c>
      <c r="R13" t="e">
        <f ca="1"/>
        <v>#NAME?</v>
      </c>
      <c r="S13" t="e">
        <f ca="1"/>
        <v>#NAME?</v>
      </c>
      <c r="T13" t="e">
        <f ca="1"/>
        <v>#NAME?</v>
      </c>
      <c r="U13" t="e">
        <f ca="1"/>
        <v>#NAME?</v>
      </c>
      <c r="V13" t="e">
        <f ca="1"/>
        <v>#NAME?</v>
      </c>
      <c r="W13" t="e">
        <f ca="1"/>
        <v>#NAME?</v>
      </c>
      <c r="X13" t="e">
        <f ca="1"/>
        <v>#NAME?</v>
      </c>
      <c r="Y13" t="e">
        <f ca="1"/>
        <v>#NAME?</v>
      </c>
      <c r="Z13" t="e">
        <f ca="1"/>
        <v>#NAME?</v>
      </c>
      <c r="AA13" t="e">
        <f ca="1"/>
        <v>#NAME?</v>
      </c>
      <c r="AB13" t="e">
        <f ca="1"/>
        <v>#NAME?</v>
      </c>
      <c r="AC13" t="e">
        <f ca="1"/>
        <v>#NAME?</v>
      </c>
      <c r="AD13" t="e">
        <f ca="1"/>
        <v>#NAME?</v>
      </c>
      <c r="AE13" t="e">
        <f ca="1"/>
        <v>#NAME?</v>
      </c>
      <c r="AF13" t="e">
        <f ca="1"/>
        <v>#NAME?</v>
      </c>
      <c r="AG13" t="e">
        <f ca="1"/>
        <v>#NAME?</v>
      </c>
      <c r="AH13" t="e">
        <f ca="1"/>
        <v>#NAME?</v>
      </c>
      <c r="AI13" t="e">
        <f ca="1"/>
        <v>#NAME?</v>
      </c>
      <c r="AJ13" t="e">
        <f ca="1"/>
        <v>#NAME?</v>
      </c>
      <c r="AK13" t="e">
        <f ca="1"/>
        <v>#NAME?</v>
      </c>
      <c r="AL13" t="e">
        <f ca="1"/>
        <v>#NAME?</v>
      </c>
      <c r="AM13" t="e">
        <f ca="1"/>
        <v>#NAME?</v>
      </c>
      <c r="AN13" t="e">
        <f ca="1"/>
        <v>#NAME?</v>
      </c>
      <c r="AO13" t="e">
        <f ca="1"/>
        <v>#NAME?</v>
      </c>
      <c r="AP13" t="e">
        <f ca="1"/>
        <v>#NAME?</v>
      </c>
      <c r="AQ13" t="e">
        <f ca="1"/>
        <v>#NAME?</v>
      </c>
      <c r="AR13" t="e">
        <f ca="1"/>
        <v>#NAME?</v>
      </c>
    </row>
    <row r="14" spans="2:44">
      <c r="B14" t="e">
        <f ca="1"/>
        <v>#NAME?</v>
      </c>
      <c r="C14" t="e">
        <f ca="1"/>
        <v>#NAME?</v>
      </c>
      <c r="D14" t="e">
        <f ca="1"/>
        <v>#NAME?</v>
      </c>
      <c r="E14" t="e">
        <f ca="1"/>
        <v>#NAME?</v>
      </c>
      <c r="F14" t="e">
        <f ca="1"/>
        <v>#NAME?</v>
      </c>
      <c r="G14" t="e">
        <f ca="1"/>
        <v>#NAME?</v>
      </c>
      <c r="H14" t="e">
        <f ca="1"/>
        <v>#NAME?</v>
      </c>
      <c r="I14" t="e">
        <f ca="1"/>
        <v>#NAME?</v>
      </c>
      <c r="J14" t="e">
        <f ca="1"/>
        <v>#NAME?</v>
      </c>
      <c r="K14" t="e">
        <f ca="1"/>
        <v>#NAME?</v>
      </c>
      <c r="L14" t="e">
        <f ca="1"/>
        <v>#NAME?</v>
      </c>
      <c r="M14" t="e">
        <f ca="1"/>
        <v>#NAME?</v>
      </c>
      <c r="N14" t="e">
        <f ca="1"/>
        <v>#NAME?</v>
      </c>
      <c r="O14" t="e">
        <f ca="1"/>
        <v>#NAME?</v>
      </c>
      <c r="P14" t="e">
        <f ca="1"/>
        <v>#NAME?</v>
      </c>
      <c r="Q14" t="e">
        <f ca="1"/>
        <v>#NAME?</v>
      </c>
      <c r="R14" t="e">
        <f ca="1"/>
        <v>#NAME?</v>
      </c>
      <c r="S14" t="e">
        <f ca="1"/>
        <v>#NAME?</v>
      </c>
      <c r="T14" t="e">
        <f ca="1"/>
        <v>#NAME?</v>
      </c>
      <c r="U14" t="e">
        <f ca="1"/>
        <v>#NAME?</v>
      </c>
      <c r="V14" t="e">
        <f ca="1"/>
        <v>#NAME?</v>
      </c>
      <c r="W14" t="e">
        <f ca="1"/>
        <v>#NAME?</v>
      </c>
      <c r="X14" t="e">
        <f ca="1"/>
        <v>#NAME?</v>
      </c>
      <c r="Y14" t="e">
        <f ca="1"/>
        <v>#NAME?</v>
      </c>
      <c r="Z14" t="e">
        <f ca="1"/>
        <v>#NAME?</v>
      </c>
      <c r="AA14" t="e">
        <f ca="1"/>
        <v>#NAME?</v>
      </c>
      <c r="AB14" t="e">
        <f ca="1"/>
        <v>#NAME?</v>
      </c>
      <c r="AC14" t="e">
        <f ca="1"/>
        <v>#NAME?</v>
      </c>
      <c r="AD14" t="e">
        <f ca="1"/>
        <v>#NAME?</v>
      </c>
      <c r="AE14" t="e">
        <f ca="1"/>
        <v>#NAME?</v>
      </c>
      <c r="AF14" t="e">
        <f ca="1"/>
        <v>#NAME?</v>
      </c>
      <c r="AG14" t="e">
        <f ca="1"/>
        <v>#NAME?</v>
      </c>
      <c r="AH14" t="e">
        <f ca="1"/>
        <v>#NAME?</v>
      </c>
      <c r="AI14" t="e">
        <f ca="1"/>
        <v>#NAME?</v>
      </c>
      <c r="AJ14" t="e">
        <f ca="1"/>
        <v>#NAME?</v>
      </c>
      <c r="AK14" t="e">
        <f ca="1"/>
        <v>#NAME?</v>
      </c>
      <c r="AL14" t="e">
        <f ca="1"/>
        <v>#NAME?</v>
      </c>
      <c r="AM14" t="e">
        <f ca="1"/>
        <v>#NAME?</v>
      </c>
      <c r="AN14" t="e">
        <f ca="1"/>
        <v>#NAME?</v>
      </c>
      <c r="AO14" t="e">
        <f ca="1"/>
        <v>#NAME?</v>
      </c>
      <c r="AP14" t="e">
        <f ca="1"/>
        <v>#NAME?</v>
      </c>
      <c r="AQ14" t="e">
        <f ca="1"/>
        <v>#NAME?</v>
      </c>
      <c r="AR14" t="e">
        <f ca="1"/>
        <v>#NAME?</v>
      </c>
    </row>
    <row r="15" spans="2:44">
      <c r="B15" t="e">
        <f ca="1"/>
        <v>#NAME?</v>
      </c>
      <c r="C15" t="e">
        <f ca="1"/>
        <v>#NAME?</v>
      </c>
      <c r="D15" t="e">
        <f ca="1"/>
        <v>#NAME?</v>
      </c>
      <c r="E15" t="e">
        <f ca="1"/>
        <v>#NAME?</v>
      </c>
      <c r="F15" t="e">
        <f ca="1"/>
        <v>#NAME?</v>
      </c>
      <c r="G15" t="e">
        <f ca="1"/>
        <v>#NAME?</v>
      </c>
      <c r="H15" t="e">
        <f ca="1"/>
        <v>#NAME?</v>
      </c>
      <c r="I15" t="e">
        <f ca="1"/>
        <v>#NAME?</v>
      </c>
      <c r="J15" t="e">
        <f ca="1"/>
        <v>#NAME?</v>
      </c>
      <c r="K15" t="e">
        <f ca="1"/>
        <v>#NAME?</v>
      </c>
      <c r="L15" t="e">
        <f ca="1"/>
        <v>#NAME?</v>
      </c>
      <c r="M15" t="e">
        <f ca="1"/>
        <v>#NAME?</v>
      </c>
      <c r="N15" t="e">
        <f ca="1"/>
        <v>#NAME?</v>
      </c>
      <c r="O15" t="e">
        <f ca="1"/>
        <v>#NAME?</v>
      </c>
      <c r="P15" t="e">
        <f ca="1"/>
        <v>#NAME?</v>
      </c>
      <c r="Q15" t="e">
        <f ca="1"/>
        <v>#NAME?</v>
      </c>
      <c r="R15" t="e">
        <f ca="1"/>
        <v>#NAME?</v>
      </c>
      <c r="S15" t="e">
        <f ca="1"/>
        <v>#NAME?</v>
      </c>
      <c r="T15" t="e">
        <f ca="1"/>
        <v>#NAME?</v>
      </c>
      <c r="U15" t="e">
        <f ca="1"/>
        <v>#NAME?</v>
      </c>
      <c r="V15" t="e">
        <f ca="1"/>
        <v>#NAME?</v>
      </c>
      <c r="W15" t="e">
        <f ca="1"/>
        <v>#NAME?</v>
      </c>
      <c r="X15" t="e">
        <f ca="1"/>
        <v>#NAME?</v>
      </c>
      <c r="Y15" t="e">
        <f ca="1"/>
        <v>#NAME?</v>
      </c>
      <c r="Z15" t="e">
        <f ca="1"/>
        <v>#NAME?</v>
      </c>
      <c r="AA15" t="e">
        <f ca="1"/>
        <v>#NAME?</v>
      </c>
      <c r="AB15" t="e">
        <f ca="1"/>
        <v>#NAME?</v>
      </c>
      <c r="AC15" t="e">
        <f ca="1"/>
        <v>#NAME?</v>
      </c>
      <c r="AD15" t="e">
        <f ca="1"/>
        <v>#NAME?</v>
      </c>
      <c r="AE15" t="e">
        <f ca="1"/>
        <v>#NAME?</v>
      </c>
      <c r="AF15" t="e">
        <f ca="1"/>
        <v>#NAME?</v>
      </c>
      <c r="AG15" t="e">
        <f ca="1"/>
        <v>#NAME?</v>
      </c>
      <c r="AH15" t="e">
        <f ca="1"/>
        <v>#NAME?</v>
      </c>
      <c r="AI15" t="e">
        <f ca="1"/>
        <v>#NAME?</v>
      </c>
      <c r="AJ15" t="e">
        <f ca="1"/>
        <v>#NAME?</v>
      </c>
      <c r="AK15" t="e">
        <f ca="1"/>
        <v>#NAME?</v>
      </c>
      <c r="AL15" t="e">
        <f ca="1"/>
        <v>#NAME?</v>
      </c>
      <c r="AM15" t="e">
        <f ca="1"/>
        <v>#NAME?</v>
      </c>
      <c r="AN15" t="e">
        <f ca="1"/>
        <v>#NAME?</v>
      </c>
      <c r="AO15" t="e">
        <f ca="1"/>
        <v>#NAME?</v>
      </c>
      <c r="AP15" t="e">
        <f ca="1"/>
        <v>#NAME?</v>
      </c>
      <c r="AQ15" t="e">
        <f ca="1"/>
        <v>#NAME?</v>
      </c>
      <c r="AR15" t="e">
        <f ca="1"/>
        <v>#NAME?</v>
      </c>
    </row>
    <row r="16" spans="2:44">
      <c r="B16" t="e">
        <f ca="1"/>
        <v>#NAME?</v>
      </c>
      <c r="C16" t="e">
        <f ca="1"/>
        <v>#NAME?</v>
      </c>
      <c r="D16" t="e">
        <f ca="1"/>
        <v>#NAME?</v>
      </c>
      <c r="E16" t="e">
        <f ca="1"/>
        <v>#NAME?</v>
      </c>
      <c r="F16" t="e">
        <f ca="1"/>
        <v>#NAME?</v>
      </c>
      <c r="G16" t="e">
        <f ca="1"/>
        <v>#NAME?</v>
      </c>
      <c r="H16" t="e">
        <f ca="1"/>
        <v>#NAME?</v>
      </c>
      <c r="I16" t="e">
        <f ca="1"/>
        <v>#NAME?</v>
      </c>
      <c r="J16" t="e">
        <f ca="1"/>
        <v>#NAME?</v>
      </c>
      <c r="K16" t="e">
        <f ca="1"/>
        <v>#NAME?</v>
      </c>
      <c r="L16" t="e">
        <f ca="1"/>
        <v>#NAME?</v>
      </c>
      <c r="M16" t="e">
        <f ca="1"/>
        <v>#NAME?</v>
      </c>
      <c r="N16" t="e">
        <f ca="1"/>
        <v>#NAME?</v>
      </c>
      <c r="O16" t="e">
        <f ca="1"/>
        <v>#NAME?</v>
      </c>
      <c r="P16" t="e">
        <f ca="1"/>
        <v>#NAME?</v>
      </c>
      <c r="Q16" t="e">
        <f ca="1"/>
        <v>#NAME?</v>
      </c>
      <c r="R16" t="e">
        <f ca="1"/>
        <v>#NAME?</v>
      </c>
      <c r="S16" t="e">
        <f ca="1"/>
        <v>#NAME?</v>
      </c>
      <c r="T16" t="e">
        <f ca="1"/>
        <v>#NAME?</v>
      </c>
      <c r="U16" t="e">
        <f ca="1"/>
        <v>#NAME?</v>
      </c>
      <c r="V16" t="e">
        <f ca="1"/>
        <v>#NAME?</v>
      </c>
      <c r="W16" t="e">
        <f ca="1"/>
        <v>#NAME?</v>
      </c>
      <c r="X16" t="e">
        <f ca="1"/>
        <v>#NAME?</v>
      </c>
      <c r="Y16" t="e">
        <f ca="1"/>
        <v>#NAME?</v>
      </c>
      <c r="Z16" t="e">
        <f ca="1"/>
        <v>#NAME?</v>
      </c>
      <c r="AA16" t="e">
        <f ca="1"/>
        <v>#NAME?</v>
      </c>
      <c r="AB16" t="e">
        <f ca="1"/>
        <v>#NAME?</v>
      </c>
      <c r="AC16" t="e">
        <f ca="1"/>
        <v>#NAME?</v>
      </c>
      <c r="AD16" t="e">
        <f ca="1"/>
        <v>#NAME?</v>
      </c>
      <c r="AE16" t="e">
        <f ca="1"/>
        <v>#NAME?</v>
      </c>
      <c r="AF16" t="e">
        <f ca="1"/>
        <v>#NAME?</v>
      </c>
      <c r="AG16" t="e">
        <f ca="1"/>
        <v>#NAME?</v>
      </c>
      <c r="AH16" t="e">
        <f ca="1"/>
        <v>#NAME?</v>
      </c>
      <c r="AI16" t="e">
        <f ca="1"/>
        <v>#NAME?</v>
      </c>
      <c r="AJ16" t="e">
        <f ca="1"/>
        <v>#NAME?</v>
      </c>
      <c r="AK16" t="e">
        <f ca="1"/>
        <v>#NAME?</v>
      </c>
      <c r="AL16" t="e">
        <f ca="1"/>
        <v>#NAME?</v>
      </c>
      <c r="AM16" t="e">
        <f ca="1"/>
        <v>#NAME?</v>
      </c>
      <c r="AN16" t="e">
        <f ca="1"/>
        <v>#NAME?</v>
      </c>
      <c r="AO16" t="e">
        <f ca="1"/>
        <v>#NAME?</v>
      </c>
      <c r="AP16" t="e">
        <f ca="1"/>
        <v>#NAME?</v>
      </c>
      <c r="AQ16" t="e">
        <f ca="1"/>
        <v>#NAME?</v>
      </c>
      <c r="AR16" t="e">
        <f ca="1"/>
        <v>#NAME?</v>
      </c>
    </row>
    <row r="17" spans="2:44">
      <c r="B17" t="e">
        <f ca="1"/>
        <v>#NAME?</v>
      </c>
      <c r="C17" t="e">
        <f ca="1"/>
        <v>#NAME?</v>
      </c>
      <c r="D17" t="e">
        <f ca="1"/>
        <v>#NAME?</v>
      </c>
      <c r="E17" t="e">
        <f ca="1"/>
        <v>#NAME?</v>
      </c>
      <c r="F17" t="e">
        <f ca="1"/>
        <v>#NAME?</v>
      </c>
      <c r="G17" t="e">
        <f ca="1"/>
        <v>#NAME?</v>
      </c>
      <c r="H17" t="e">
        <f ca="1"/>
        <v>#NAME?</v>
      </c>
      <c r="I17" t="e">
        <f ca="1"/>
        <v>#NAME?</v>
      </c>
      <c r="J17" t="e">
        <f ca="1"/>
        <v>#NAME?</v>
      </c>
      <c r="K17" t="e">
        <f ca="1"/>
        <v>#NAME?</v>
      </c>
      <c r="L17" t="e">
        <f ca="1"/>
        <v>#NAME?</v>
      </c>
      <c r="M17" t="e">
        <f ca="1"/>
        <v>#NAME?</v>
      </c>
      <c r="N17" t="e">
        <f ca="1"/>
        <v>#NAME?</v>
      </c>
      <c r="O17" t="e">
        <f ca="1"/>
        <v>#NAME?</v>
      </c>
      <c r="P17" t="e">
        <f ca="1"/>
        <v>#NAME?</v>
      </c>
      <c r="Q17" t="e">
        <f ca="1"/>
        <v>#NAME?</v>
      </c>
      <c r="R17" t="e">
        <f ca="1"/>
        <v>#NAME?</v>
      </c>
      <c r="S17" t="e">
        <f ca="1"/>
        <v>#NAME?</v>
      </c>
      <c r="T17" t="e">
        <f ca="1"/>
        <v>#NAME?</v>
      </c>
      <c r="U17" t="e">
        <f ca="1"/>
        <v>#NAME?</v>
      </c>
      <c r="V17" t="e">
        <f ca="1"/>
        <v>#NAME?</v>
      </c>
      <c r="W17" t="e">
        <f ca="1"/>
        <v>#NAME?</v>
      </c>
      <c r="X17" t="e">
        <f ca="1"/>
        <v>#NAME?</v>
      </c>
      <c r="Y17" t="e">
        <f ca="1"/>
        <v>#NAME?</v>
      </c>
      <c r="Z17" t="e">
        <f ca="1"/>
        <v>#NAME?</v>
      </c>
      <c r="AA17" t="e">
        <f ca="1"/>
        <v>#NAME?</v>
      </c>
      <c r="AB17" t="e">
        <f ca="1"/>
        <v>#NAME?</v>
      </c>
      <c r="AC17" t="e">
        <f ca="1"/>
        <v>#NAME?</v>
      </c>
      <c r="AD17" t="e">
        <f ca="1"/>
        <v>#NAME?</v>
      </c>
      <c r="AE17" t="e">
        <f ca="1"/>
        <v>#NAME?</v>
      </c>
      <c r="AF17" t="e">
        <f ca="1"/>
        <v>#NAME?</v>
      </c>
      <c r="AG17" t="e">
        <f ca="1"/>
        <v>#NAME?</v>
      </c>
      <c r="AH17" t="e">
        <f ca="1"/>
        <v>#NAME?</v>
      </c>
      <c r="AI17" t="e">
        <f ca="1"/>
        <v>#NAME?</v>
      </c>
      <c r="AJ17" t="e">
        <f ca="1"/>
        <v>#NAME?</v>
      </c>
      <c r="AK17" t="e">
        <f ca="1"/>
        <v>#NAME?</v>
      </c>
      <c r="AL17" t="e">
        <f ca="1"/>
        <v>#NAME?</v>
      </c>
      <c r="AM17" t="e">
        <f ca="1"/>
        <v>#NAME?</v>
      </c>
      <c r="AN17" t="e">
        <f ca="1"/>
        <v>#NAME?</v>
      </c>
      <c r="AO17" t="e">
        <f ca="1"/>
        <v>#NAME?</v>
      </c>
      <c r="AP17" t="e">
        <f ca="1"/>
        <v>#NAME?</v>
      </c>
      <c r="AQ17" t="e">
        <f ca="1"/>
        <v>#NAME?</v>
      </c>
      <c r="AR17" t="e">
        <f ca="1"/>
        <v>#NAME?</v>
      </c>
    </row>
    <row r="18" spans="2:44">
      <c r="B18" t="e">
        <f ca="1"/>
        <v>#NAME?</v>
      </c>
      <c r="C18" t="e">
        <f ca="1"/>
        <v>#NAME?</v>
      </c>
      <c r="D18" t="e">
        <f ca="1"/>
        <v>#NAME?</v>
      </c>
      <c r="E18" t="e">
        <f ca="1"/>
        <v>#NAME?</v>
      </c>
      <c r="F18" t="e">
        <f ca="1"/>
        <v>#NAME?</v>
      </c>
      <c r="G18" t="e">
        <f ca="1"/>
        <v>#NAME?</v>
      </c>
      <c r="H18" t="e">
        <f ca="1"/>
        <v>#NAME?</v>
      </c>
      <c r="I18" t="e">
        <f ca="1"/>
        <v>#NAME?</v>
      </c>
      <c r="J18" t="e">
        <f ca="1"/>
        <v>#NAME?</v>
      </c>
      <c r="K18" t="e">
        <f ca="1"/>
        <v>#NAME?</v>
      </c>
      <c r="L18" t="e">
        <f ca="1"/>
        <v>#NAME?</v>
      </c>
      <c r="M18" t="e">
        <f ca="1"/>
        <v>#NAME?</v>
      </c>
      <c r="N18" t="e">
        <f ca="1"/>
        <v>#NAME?</v>
      </c>
      <c r="O18" t="e">
        <f ca="1"/>
        <v>#NAME?</v>
      </c>
      <c r="P18" t="e">
        <f ca="1"/>
        <v>#NAME?</v>
      </c>
      <c r="Q18" t="e">
        <f ca="1"/>
        <v>#NAME?</v>
      </c>
      <c r="R18" t="e">
        <f ca="1"/>
        <v>#NAME?</v>
      </c>
      <c r="S18" t="e">
        <f ca="1"/>
        <v>#NAME?</v>
      </c>
      <c r="T18" t="e">
        <f ca="1"/>
        <v>#NAME?</v>
      </c>
      <c r="U18" t="e">
        <f ca="1"/>
        <v>#NAME?</v>
      </c>
      <c r="V18" t="e">
        <f ca="1"/>
        <v>#NAME?</v>
      </c>
      <c r="W18" t="e">
        <f ca="1"/>
        <v>#NAME?</v>
      </c>
      <c r="X18" t="e">
        <f ca="1"/>
        <v>#NAME?</v>
      </c>
      <c r="Y18" t="e">
        <f ca="1"/>
        <v>#NAME?</v>
      </c>
      <c r="Z18" t="e">
        <f ca="1"/>
        <v>#NAME?</v>
      </c>
      <c r="AA18" t="e">
        <f ca="1"/>
        <v>#NAME?</v>
      </c>
      <c r="AB18" t="e">
        <f ca="1"/>
        <v>#NAME?</v>
      </c>
      <c r="AC18" t="e">
        <f ca="1"/>
        <v>#NAME?</v>
      </c>
      <c r="AD18" t="e">
        <f ca="1"/>
        <v>#NAME?</v>
      </c>
      <c r="AE18" t="e">
        <f ca="1"/>
        <v>#NAME?</v>
      </c>
      <c r="AF18" t="e">
        <f ca="1"/>
        <v>#NAME?</v>
      </c>
      <c r="AG18" t="e">
        <f ca="1"/>
        <v>#NAME?</v>
      </c>
      <c r="AH18" t="e">
        <f ca="1"/>
        <v>#NAME?</v>
      </c>
      <c r="AI18" t="e">
        <f ca="1"/>
        <v>#NAME?</v>
      </c>
      <c r="AJ18" t="e">
        <f ca="1"/>
        <v>#NAME?</v>
      </c>
      <c r="AK18" t="e">
        <f ca="1"/>
        <v>#NAME?</v>
      </c>
      <c r="AL18" t="e">
        <f ca="1"/>
        <v>#NAME?</v>
      </c>
      <c r="AM18" t="e">
        <f ca="1"/>
        <v>#NAME?</v>
      </c>
      <c r="AN18" t="e">
        <f ca="1"/>
        <v>#NAME?</v>
      </c>
      <c r="AO18" t="e">
        <f ca="1"/>
        <v>#NAME?</v>
      </c>
      <c r="AP18" t="e">
        <f ca="1"/>
        <v>#NAME?</v>
      </c>
      <c r="AQ18" t="e">
        <f ca="1"/>
        <v>#NAME?</v>
      </c>
      <c r="AR18" t="e">
        <f ca="1"/>
        <v>#NAME?</v>
      </c>
    </row>
    <row r="19" spans="2:44">
      <c r="B19" t="e">
        <f ca="1"/>
        <v>#NAME?</v>
      </c>
      <c r="C19" t="e">
        <f ca="1"/>
        <v>#NAME?</v>
      </c>
      <c r="D19" t="e">
        <f ca="1"/>
        <v>#NAME?</v>
      </c>
      <c r="E19" t="e">
        <f ca="1"/>
        <v>#NAME?</v>
      </c>
      <c r="F19" t="e">
        <f ca="1"/>
        <v>#NAME?</v>
      </c>
      <c r="G19" t="e">
        <f ca="1"/>
        <v>#NAME?</v>
      </c>
      <c r="H19" t="e">
        <f ca="1"/>
        <v>#NAME?</v>
      </c>
      <c r="I19" t="e">
        <f ca="1"/>
        <v>#NAME?</v>
      </c>
      <c r="J19" t="e">
        <f ca="1"/>
        <v>#NAME?</v>
      </c>
      <c r="K19" t="e">
        <f ca="1"/>
        <v>#NAME?</v>
      </c>
      <c r="L19" t="e">
        <f ca="1"/>
        <v>#NAME?</v>
      </c>
      <c r="M19" t="e">
        <f ca="1"/>
        <v>#NAME?</v>
      </c>
      <c r="N19" t="e">
        <f ca="1"/>
        <v>#NAME?</v>
      </c>
      <c r="O19" t="e">
        <f ca="1"/>
        <v>#NAME?</v>
      </c>
      <c r="P19" t="e">
        <f ca="1"/>
        <v>#NAME?</v>
      </c>
      <c r="Q19" t="e">
        <f ca="1"/>
        <v>#NAME?</v>
      </c>
      <c r="R19" t="e">
        <f ca="1"/>
        <v>#NAME?</v>
      </c>
      <c r="S19" t="e">
        <f ca="1"/>
        <v>#NAME?</v>
      </c>
      <c r="T19" t="e">
        <f ca="1"/>
        <v>#NAME?</v>
      </c>
      <c r="U19" t="e">
        <f ca="1"/>
        <v>#NAME?</v>
      </c>
      <c r="V19" t="e">
        <f ca="1"/>
        <v>#NAME?</v>
      </c>
      <c r="W19" t="e">
        <f ca="1"/>
        <v>#NAME?</v>
      </c>
      <c r="X19" t="e">
        <f ca="1"/>
        <v>#NAME?</v>
      </c>
      <c r="Y19" t="e">
        <f ca="1"/>
        <v>#NAME?</v>
      </c>
      <c r="Z19" t="e">
        <f ca="1"/>
        <v>#NAME?</v>
      </c>
      <c r="AA19" t="e">
        <f ca="1"/>
        <v>#NAME?</v>
      </c>
      <c r="AB19" t="e">
        <f ca="1"/>
        <v>#NAME?</v>
      </c>
      <c r="AC19" t="e">
        <f ca="1"/>
        <v>#NAME?</v>
      </c>
      <c r="AD19" t="e">
        <f ca="1"/>
        <v>#NAME?</v>
      </c>
      <c r="AE19" t="e">
        <f ca="1"/>
        <v>#NAME?</v>
      </c>
      <c r="AF19" t="e">
        <f ca="1"/>
        <v>#NAME?</v>
      </c>
      <c r="AG19" t="e">
        <f ca="1"/>
        <v>#NAME?</v>
      </c>
      <c r="AH19" t="e">
        <f ca="1"/>
        <v>#NAME?</v>
      </c>
      <c r="AI19" t="e">
        <f ca="1"/>
        <v>#NAME?</v>
      </c>
      <c r="AJ19" t="e">
        <f ca="1"/>
        <v>#NAME?</v>
      </c>
      <c r="AK19" t="e">
        <f ca="1"/>
        <v>#NAME?</v>
      </c>
      <c r="AL19" t="e">
        <f ca="1"/>
        <v>#NAME?</v>
      </c>
      <c r="AM19" t="e">
        <f ca="1"/>
        <v>#NAME?</v>
      </c>
      <c r="AN19" t="e">
        <f ca="1"/>
        <v>#NAME?</v>
      </c>
      <c r="AO19" t="e">
        <f ca="1"/>
        <v>#NAME?</v>
      </c>
      <c r="AP19" t="e">
        <f ca="1"/>
        <v>#NAME?</v>
      </c>
      <c r="AQ19" t="e">
        <f ca="1"/>
        <v>#NAME?</v>
      </c>
      <c r="AR19" t="e">
        <f ca="1"/>
        <v>#NAME?</v>
      </c>
    </row>
  </sheetData>
  <conditionalFormatting sqref="O3">
    <cfRule type="cellIs" dxfId="25" priority="1" operator="equal">
      <formula>0</formula>
    </cfRule>
  </conditionalFormatting>
  <conditionalFormatting sqref="P3">
    <cfRule type="cellIs" dxfId="24" priority="2" operator="lessThan">
      <formula>-3000</formula>
    </cfRule>
  </conditionalFormatting>
  <pageMargins left="0.7" right="0.7" top="0.75" bottom="0.75" header="0.3" footer="0.3"/>
  <pageSetup orientation="portrait" horizontalDpi="300" verticalDpi="300"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3">
    <tabColor theme="8" tint="0.59999389629810485"/>
  </sheetPr>
  <dimension ref="B1:K34"/>
  <sheetViews>
    <sheetView showGridLines="0" zoomScaleNormal="100" workbookViewId="0">
      <selection activeCell="B14" sqref="B14"/>
    </sheetView>
  </sheetViews>
  <sheetFormatPr defaultColWidth="8.7109375" defaultRowHeight="15"/>
  <cols>
    <col min="1" max="1" width="0.7109375" style="19" customWidth="1"/>
    <col min="2" max="2" width="23.7109375" style="47" customWidth="1"/>
    <col min="3" max="3" width="18.5703125" style="18" customWidth="1"/>
    <col min="4" max="4" width="15.42578125" style="20" bestFit="1" customWidth="1"/>
    <col min="5" max="6" width="14.28515625" style="36" customWidth="1"/>
    <col min="7" max="7" width="14.28515625" style="33" customWidth="1"/>
    <col min="8" max="9" width="14.28515625" style="21" customWidth="1"/>
    <col min="10" max="10" width="16.28515625" style="36" customWidth="1"/>
    <col min="11" max="11" width="30.28515625" style="18" customWidth="1"/>
    <col min="12" max="28" width="15" style="19" customWidth="1"/>
    <col min="29" max="29" width="20.28515625" style="19" customWidth="1"/>
    <col min="30" max="30" width="15" style="19" customWidth="1"/>
    <col min="31" max="31" width="6.28515625" style="19" customWidth="1"/>
    <col min="32" max="32" width="255.7109375" style="19" bestFit="1" customWidth="1"/>
    <col min="33" max="16384" width="8.7109375" style="19"/>
  </cols>
  <sheetData>
    <row r="1" spans="2:11" ht="7.9" customHeight="1" thickBot="1"/>
    <row r="2" spans="2:11" s="28" customFormat="1" ht="30.75" thickBot="1">
      <c r="B2" s="22" t="s">
        <v>4</v>
      </c>
      <c r="C2" s="23" t="s">
        <v>717</v>
      </c>
      <c r="D2" s="24" t="s">
        <v>718</v>
      </c>
      <c r="E2" s="34" t="s">
        <v>719</v>
      </c>
      <c r="F2" s="34" t="s">
        <v>720</v>
      </c>
      <c r="G2" s="34" t="s">
        <v>721</v>
      </c>
      <c r="H2" s="25" t="s">
        <v>11</v>
      </c>
      <c r="I2" s="25" t="s">
        <v>13</v>
      </c>
      <c r="J2" s="34" t="s">
        <v>722</v>
      </c>
      <c r="K2" s="27" t="s">
        <v>37</v>
      </c>
    </row>
    <row r="3" spans="2:11" s="28" customFormat="1">
      <c r="B3" s="168" t="s">
        <v>723</v>
      </c>
      <c r="C3" s="169"/>
      <c r="D3" s="182"/>
      <c r="E3" s="183"/>
      <c r="F3" s="183"/>
      <c r="G3" s="183"/>
      <c r="H3" s="184"/>
      <c r="I3" s="184"/>
      <c r="J3" s="183"/>
      <c r="K3" s="185"/>
    </row>
    <row r="4" spans="2:11" s="35" customFormat="1" ht="30">
      <c r="B4" s="189" t="s">
        <v>724</v>
      </c>
      <c r="C4" s="29" t="s">
        <v>725</v>
      </c>
      <c r="D4" s="127">
        <v>606302693</v>
      </c>
      <c r="E4" s="48"/>
      <c r="F4" s="48">
        <v>4000000</v>
      </c>
      <c r="G4" s="48">
        <v>2000000</v>
      </c>
      <c r="H4" s="49">
        <v>45206</v>
      </c>
      <c r="I4" s="49">
        <v>45572</v>
      </c>
      <c r="J4" s="48" t="s">
        <v>726</v>
      </c>
      <c r="K4" s="190" t="s">
        <v>727</v>
      </c>
    </row>
    <row r="5" spans="2:11" s="28" customFormat="1" ht="30">
      <c r="B5" s="173" t="s">
        <v>728</v>
      </c>
      <c r="C5" s="30" t="s">
        <v>725</v>
      </c>
      <c r="D5" s="128">
        <v>606302693</v>
      </c>
      <c r="E5" s="37"/>
      <c r="F5" s="37">
        <v>2000000</v>
      </c>
      <c r="G5" s="39"/>
      <c r="H5" s="49">
        <v>45206</v>
      </c>
      <c r="I5" s="49">
        <v>45572</v>
      </c>
      <c r="J5" s="37" t="s">
        <v>729</v>
      </c>
      <c r="K5" s="186"/>
    </row>
    <row r="6" spans="2:11" ht="45">
      <c r="B6" s="187" t="s">
        <v>730</v>
      </c>
      <c r="C6" s="30" t="s">
        <v>731</v>
      </c>
      <c r="D6" s="129" t="s">
        <v>732</v>
      </c>
      <c r="E6" s="40">
        <v>15000</v>
      </c>
      <c r="F6" s="40">
        <v>3000000</v>
      </c>
      <c r="G6" s="41"/>
      <c r="H6" s="38">
        <v>45160</v>
      </c>
      <c r="I6" s="38">
        <v>45527</v>
      </c>
      <c r="J6" s="37" t="s">
        <v>733</v>
      </c>
      <c r="K6" s="174"/>
    </row>
    <row r="7" spans="2:11" s="18" customFormat="1" ht="30">
      <c r="B7" s="187" t="s">
        <v>734</v>
      </c>
      <c r="C7" s="30" t="s">
        <v>725</v>
      </c>
      <c r="D7" s="130">
        <v>606302693</v>
      </c>
      <c r="E7" s="42"/>
      <c r="F7" s="30"/>
      <c r="G7" s="40">
        <v>5000000</v>
      </c>
      <c r="H7" s="49">
        <v>45206</v>
      </c>
      <c r="I7" s="49">
        <v>45572</v>
      </c>
      <c r="J7" s="37" t="s">
        <v>729</v>
      </c>
      <c r="K7" s="174"/>
    </row>
    <row r="8" spans="2:11" ht="45.75" thickBot="1">
      <c r="B8" s="192" t="s">
        <v>735</v>
      </c>
      <c r="C8" s="176" t="s">
        <v>736</v>
      </c>
      <c r="D8" s="177" t="s">
        <v>737</v>
      </c>
      <c r="E8" s="178"/>
      <c r="F8" s="178"/>
      <c r="G8" s="178">
        <v>2000000</v>
      </c>
      <c r="H8" s="180"/>
      <c r="I8" s="180"/>
      <c r="J8" s="188" t="s">
        <v>738</v>
      </c>
      <c r="K8" s="181" t="s">
        <v>739</v>
      </c>
    </row>
    <row r="9" spans="2:11">
      <c r="B9" s="168" t="s">
        <v>740</v>
      </c>
      <c r="C9" s="169"/>
      <c r="D9" s="191"/>
      <c r="E9" s="170"/>
      <c r="F9" s="170"/>
      <c r="G9" s="170"/>
      <c r="H9" s="171"/>
      <c r="I9" s="171"/>
      <c r="J9" s="183"/>
      <c r="K9" s="172"/>
    </row>
    <row r="10" spans="2:11" ht="30">
      <c r="B10" s="173" t="s">
        <v>741</v>
      </c>
      <c r="C10" s="30" t="s">
        <v>742</v>
      </c>
      <c r="D10" s="132" t="s">
        <v>743</v>
      </c>
      <c r="E10" s="40"/>
      <c r="F10" s="40">
        <v>2000000</v>
      </c>
      <c r="G10" s="41"/>
      <c r="H10" s="32">
        <v>44978</v>
      </c>
      <c r="I10" s="32">
        <v>45341</v>
      </c>
      <c r="J10" s="40" t="s">
        <v>744</v>
      </c>
      <c r="K10" s="174" t="s">
        <v>745</v>
      </c>
    </row>
    <row r="11" spans="2:11" ht="30">
      <c r="B11" s="173" t="s">
        <v>746</v>
      </c>
      <c r="C11" s="30" t="s">
        <v>742</v>
      </c>
      <c r="D11" s="132" t="s">
        <v>743</v>
      </c>
      <c r="E11" s="40"/>
      <c r="F11" s="40">
        <v>1000000</v>
      </c>
      <c r="G11" s="41"/>
      <c r="H11" s="32">
        <v>44978</v>
      </c>
      <c r="I11" s="32">
        <v>45342</v>
      </c>
      <c r="J11" s="40" t="s">
        <v>729</v>
      </c>
      <c r="K11" s="174"/>
    </row>
    <row r="12" spans="2:11" ht="45">
      <c r="B12" s="187" t="s">
        <v>747</v>
      </c>
      <c r="C12" s="30" t="s">
        <v>742</v>
      </c>
      <c r="D12" s="132" t="s">
        <v>743</v>
      </c>
      <c r="E12" s="40"/>
      <c r="F12" s="40">
        <v>1000000</v>
      </c>
      <c r="G12" s="40">
        <v>1000000</v>
      </c>
      <c r="H12" s="32">
        <v>44978</v>
      </c>
      <c r="I12" s="32">
        <v>45343</v>
      </c>
      <c r="J12" s="40" t="s">
        <v>729</v>
      </c>
      <c r="K12" s="174" t="s">
        <v>748</v>
      </c>
    </row>
    <row r="13" spans="2:11" ht="30">
      <c r="B13" s="193" t="s">
        <v>749</v>
      </c>
      <c r="C13" s="43"/>
      <c r="D13" s="131"/>
      <c r="E13" s="44"/>
      <c r="F13" s="44">
        <v>5000000</v>
      </c>
      <c r="G13" s="45"/>
      <c r="H13" s="46"/>
      <c r="I13" s="46"/>
      <c r="J13" s="44"/>
      <c r="K13" s="175" t="s">
        <v>750</v>
      </c>
    </row>
    <row r="14" spans="2:11" ht="45.75" thickBot="1">
      <c r="B14" s="192" t="s">
        <v>751</v>
      </c>
      <c r="C14" s="176" t="s">
        <v>752</v>
      </c>
      <c r="D14" s="177" t="s">
        <v>753</v>
      </c>
      <c r="E14" s="178"/>
      <c r="F14" s="178"/>
      <c r="G14" s="179">
        <v>100000</v>
      </c>
      <c r="H14" s="180">
        <v>44682</v>
      </c>
      <c r="I14" s="180">
        <v>45047</v>
      </c>
      <c r="J14" s="178" t="s">
        <v>754</v>
      </c>
      <c r="K14" s="181" t="s">
        <v>755</v>
      </c>
    </row>
    <row r="15" spans="2:11">
      <c r="D15" s="166"/>
    </row>
    <row r="16" spans="2:11">
      <c r="B16"/>
      <c r="F16" s="167" t="s">
        <v>756</v>
      </c>
    </row>
    <row r="17" spans="2:4">
      <c r="B17"/>
    </row>
    <row r="18" spans="2:4">
      <c r="B18"/>
    </row>
    <row r="19" spans="2:4">
      <c r="B19"/>
    </row>
    <row r="20" spans="2:4">
      <c r="B20"/>
    </row>
    <row r="21" spans="2:4">
      <c r="B21"/>
    </row>
    <row r="22" spans="2:4">
      <c r="B22"/>
    </row>
    <row r="23" spans="2:4">
      <c r="B23"/>
    </row>
    <row r="24" spans="2:4">
      <c r="B24"/>
    </row>
    <row r="25" spans="2:4">
      <c r="B25"/>
      <c r="C25"/>
      <c r="D25"/>
    </row>
    <row r="26" spans="2:4">
      <c r="B26"/>
      <c r="C26"/>
      <c r="D26"/>
    </row>
    <row r="27" spans="2:4">
      <c r="B27"/>
      <c r="C27"/>
      <c r="D27"/>
    </row>
    <row r="28" spans="2:4">
      <c r="B28"/>
      <c r="C28"/>
      <c r="D28"/>
    </row>
    <row r="29" spans="2:4">
      <c r="B29"/>
      <c r="C29"/>
      <c r="D29"/>
    </row>
    <row r="30" spans="2:4">
      <c r="B30"/>
      <c r="C30"/>
      <c r="D30"/>
    </row>
    <row r="31" spans="2:4">
      <c r="B31"/>
      <c r="C31"/>
      <c r="D31"/>
    </row>
    <row r="32" spans="2:4">
      <c r="B32"/>
      <c r="C32"/>
      <c r="D32"/>
    </row>
    <row r="33" spans="2:4">
      <c r="B33"/>
      <c r="C33"/>
      <c r="D33"/>
    </row>
    <row r="34" spans="2:4">
      <c r="B34"/>
      <c r="C34"/>
      <c r="D34"/>
    </row>
  </sheetData>
  <pageMargins left="0.7" right="0.7" top="0.75" bottom="0.75" header="0.3" footer="0.3"/>
  <pageSetup orientation="portrait" horizontalDpi="300" verticalDpi="300" r:id="rId1"/>
  <drawing r:id="rId2"/>
  <legacyDrawing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tabColor theme="8" tint="0.59999389629810485"/>
  </sheetPr>
  <dimension ref="A1:E11"/>
  <sheetViews>
    <sheetView workbookViewId="0">
      <selection activeCell="E6" sqref="E6"/>
    </sheetView>
  </sheetViews>
  <sheetFormatPr defaultRowHeight="15"/>
  <cols>
    <col min="1" max="1" width="13.7109375" customWidth="1"/>
    <col min="2" max="2" width="95.7109375" style="79" customWidth="1"/>
    <col min="3" max="4" width="28.7109375" style="87" customWidth="1"/>
    <col min="5" max="5" width="10.7109375" customWidth="1"/>
  </cols>
  <sheetData>
    <row r="1" spans="1:5" ht="21">
      <c r="A1" s="78" t="s">
        <v>757</v>
      </c>
    </row>
    <row r="2" spans="1:5">
      <c r="A2" s="80"/>
      <c r="B2" s="81" t="s">
        <v>8</v>
      </c>
      <c r="C2" s="88" t="s">
        <v>758</v>
      </c>
      <c r="D2" s="88" t="s">
        <v>759</v>
      </c>
    </row>
    <row r="3" spans="1:5" ht="45">
      <c r="A3" s="82" t="s">
        <v>760</v>
      </c>
      <c r="B3" s="83" t="s">
        <v>761</v>
      </c>
      <c r="C3" s="89">
        <f>Insurance!F4</f>
        <v>4000000</v>
      </c>
      <c r="D3" s="89">
        <f>Insurance!F10</f>
        <v>2000000</v>
      </c>
    </row>
    <row r="4" spans="1:5" ht="60">
      <c r="A4" s="84" t="s">
        <v>762</v>
      </c>
      <c r="B4" s="85" t="s">
        <v>763</v>
      </c>
      <c r="C4" s="90">
        <f>Insurance!F6</f>
        <v>3000000</v>
      </c>
      <c r="D4" s="90">
        <f>Insurance!F12</f>
        <v>1000000</v>
      </c>
      <c r="E4" s="334" t="s">
        <v>764</v>
      </c>
    </row>
    <row r="5" spans="1:5" ht="43.5">
      <c r="A5" s="82" t="s">
        <v>765</v>
      </c>
      <c r="B5" s="86" t="s">
        <v>766</v>
      </c>
      <c r="C5" s="89">
        <f>Insurance!F6</f>
        <v>3000000</v>
      </c>
      <c r="D5" s="89">
        <f>Insurance!F12</f>
        <v>1000000</v>
      </c>
      <c r="E5" s="334"/>
    </row>
    <row r="6" spans="1:5" ht="30">
      <c r="A6" s="84" t="s">
        <v>767</v>
      </c>
      <c r="B6" s="85"/>
      <c r="C6" s="90"/>
      <c r="D6" s="90"/>
    </row>
    <row r="7" spans="1:5" ht="30">
      <c r="A7" s="84" t="s">
        <v>768</v>
      </c>
      <c r="B7" s="85" t="s">
        <v>769</v>
      </c>
      <c r="C7" s="90"/>
      <c r="D7" s="90"/>
    </row>
    <row r="8" spans="1:5" ht="60">
      <c r="A8" s="82" t="s">
        <v>770</v>
      </c>
      <c r="B8" s="83" t="s">
        <v>771</v>
      </c>
      <c r="C8" s="89">
        <f>Insurance!G7</f>
        <v>5000000</v>
      </c>
      <c r="D8" s="89">
        <f>Insurance!F13</f>
        <v>5000000</v>
      </c>
    </row>
    <row r="9" spans="1:5" ht="30">
      <c r="A9" s="84" t="s">
        <v>772</v>
      </c>
      <c r="B9" s="85" t="s">
        <v>773</v>
      </c>
      <c r="C9" s="90">
        <f>Insurance!G8</f>
        <v>2000000</v>
      </c>
      <c r="D9" s="90">
        <f>Insurance!G14</f>
        <v>100000</v>
      </c>
    </row>
    <row r="10" spans="1:5" ht="30">
      <c r="A10" s="82" t="s">
        <v>774</v>
      </c>
      <c r="B10" s="83" t="s">
        <v>775</v>
      </c>
      <c r="C10" s="89"/>
      <c r="D10" s="89"/>
    </row>
    <row r="11" spans="1:5">
      <c r="A11" s="80"/>
    </row>
  </sheetData>
  <mergeCells count="1">
    <mergeCell ref="E4:E5"/>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dimension ref="A1:H401"/>
  <sheetViews>
    <sheetView zoomScale="60" zoomScaleNormal="60" workbookViewId="0">
      <pane ySplit="1" topLeftCell="A8" activePane="bottomLeft" state="frozen"/>
      <selection pane="bottomLeft" activeCell="F43" sqref="F43"/>
    </sheetView>
  </sheetViews>
  <sheetFormatPr defaultColWidth="8.7109375" defaultRowHeight="15"/>
  <cols>
    <col min="1" max="1" width="64.42578125" style="13" bestFit="1" customWidth="1"/>
    <col min="2" max="3" width="83" style="13" bestFit="1" customWidth="1"/>
    <col min="4" max="4" width="24.28515625" style="13" bestFit="1" customWidth="1"/>
    <col min="5" max="5" width="19.5703125" style="13" bestFit="1" customWidth="1"/>
    <col min="6" max="6" width="83" style="13" bestFit="1" customWidth="1"/>
    <col min="7" max="7" width="20.7109375" style="13" bestFit="1" customWidth="1"/>
    <col min="8" max="8" width="14.7109375" style="13" bestFit="1" customWidth="1"/>
    <col min="9" max="16384" width="8.7109375" style="13"/>
  </cols>
  <sheetData>
    <row r="1" spans="1:8" ht="19.899999999999999" customHeight="1">
      <c r="A1" s="17" t="s">
        <v>1</v>
      </c>
      <c r="B1" s="17" t="s">
        <v>776</v>
      </c>
      <c r="C1" s="17" t="s">
        <v>8</v>
      </c>
      <c r="D1" s="17" t="s">
        <v>777</v>
      </c>
      <c r="E1" s="17" t="s">
        <v>778</v>
      </c>
      <c r="F1" s="17" t="s">
        <v>37</v>
      </c>
      <c r="G1" s="17" t="s">
        <v>779</v>
      </c>
      <c r="H1" s="17" t="s">
        <v>271</v>
      </c>
    </row>
    <row r="2" spans="1:8" ht="43.5" hidden="1" customHeight="1">
      <c r="A2" s="14" t="s">
        <v>780</v>
      </c>
      <c r="B2" s="14" t="s">
        <v>781</v>
      </c>
      <c r="C2" s="14" t="s">
        <v>782</v>
      </c>
      <c r="D2" s="16">
        <v>8000</v>
      </c>
      <c r="E2" s="15">
        <v>40</v>
      </c>
      <c r="F2" s="14"/>
      <c r="G2" s="14" t="s">
        <v>290</v>
      </c>
      <c r="H2" s="14" t="s">
        <v>783</v>
      </c>
    </row>
    <row r="3" spans="1:8" ht="28.9" hidden="1" customHeight="1">
      <c r="A3" s="14" t="s">
        <v>784</v>
      </c>
      <c r="B3" s="14" t="s">
        <v>785</v>
      </c>
      <c r="C3" s="14" t="s">
        <v>786</v>
      </c>
      <c r="D3" s="16"/>
      <c r="E3" s="15"/>
      <c r="F3" s="14"/>
      <c r="G3" s="14" t="s">
        <v>571</v>
      </c>
      <c r="H3" s="14" t="s">
        <v>783</v>
      </c>
    </row>
    <row r="4" spans="1:8" ht="19.899999999999999" hidden="1" customHeight="1">
      <c r="A4" s="14" t="s">
        <v>784</v>
      </c>
      <c r="B4" s="14" t="s">
        <v>787</v>
      </c>
      <c r="C4" s="14" t="s">
        <v>788</v>
      </c>
      <c r="D4" s="16">
        <v>1000</v>
      </c>
      <c r="E4" s="15">
        <v>10</v>
      </c>
      <c r="F4" s="14"/>
      <c r="G4" s="14" t="s">
        <v>441</v>
      </c>
      <c r="H4" s="14" t="s">
        <v>783</v>
      </c>
    </row>
    <row r="5" spans="1:8" ht="28.9" hidden="1" customHeight="1">
      <c r="A5" s="14" t="s">
        <v>789</v>
      </c>
      <c r="B5" s="14" t="s">
        <v>790</v>
      </c>
      <c r="C5" s="14" t="s">
        <v>791</v>
      </c>
      <c r="D5" s="16">
        <v>11960</v>
      </c>
      <c r="E5" s="15">
        <v>92</v>
      </c>
      <c r="F5" s="14" t="s">
        <v>792</v>
      </c>
      <c r="G5" s="14" t="s">
        <v>290</v>
      </c>
      <c r="H5" s="14" t="s">
        <v>783</v>
      </c>
    </row>
    <row r="6" spans="1:8" ht="28.9" hidden="1" customHeight="1">
      <c r="A6" s="14" t="s">
        <v>789</v>
      </c>
      <c r="B6" s="14" t="s">
        <v>793</v>
      </c>
      <c r="C6" s="14" t="s">
        <v>794</v>
      </c>
      <c r="D6" s="16">
        <v>11960</v>
      </c>
      <c r="E6" s="15">
        <v>92</v>
      </c>
      <c r="F6" s="14"/>
      <c r="G6" s="14" t="s">
        <v>290</v>
      </c>
      <c r="H6" s="14" t="s">
        <v>783</v>
      </c>
    </row>
    <row r="7" spans="1:8" ht="28.9" hidden="1" customHeight="1">
      <c r="A7" s="14" t="s">
        <v>789</v>
      </c>
      <c r="B7" s="14" t="s">
        <v>795</v>
      </c>
      <c r="C7" s="14" t="s">
        <v>796</v>
      </c>
      <c r="D7" s="16">
        <v>194600</v>
      </c>
      <c r="E7" s="15">
        <v>1112</v>
      </c>
      <c r="F7" s="14" t="s">
        <v>797</v>
      </c>
      <c r="G7" s="14" t="s">
        <v>290</v>
      </c>
      <c r="H7" s="14" t="s">
        <v>783</v>
      </c>
    </row>
    <row r="8" spans="1:8" ht="43.5" customHeight="1">
      <c r="A8" s="14" t="s">
        <v>789</v>
      </c>
      <c r="B8" s="14" t="s">
        <v>798</v>
      </c>
      <c r="C8" s="14" t="s">
        <v>799</v>
      </c>
      <c r="D8" s="16">
        <v>229600</v>
      </c>
      <c r="E8" s="15">
        <v>1312</v>
      </c>
      <c r="F8" s="14" t="s">
        <v>800</v>
      </c>
      <c r="G8" s="14" t="s">
        <v>290</v>
      </c>
      <c r="H8" s="14" t="s">
        <v>801</v>
      </c>
    </row>
    <row r="9" spans="1:8" ht="58.15" customHeight="1">
      <c r="A9" s="14" t="s">
        <v>789</v>
      </c>
      <c r="B9" s="14" t="s">
        <v>802</v>
      </c>
      <c r="C9" s="14" t="s">
        <v>803</v>
      </c>
      <c r="D9" s="16"/>
      <c r="E9" s="15"/>
      <c r="F9" s="14" t="s">
        <v>804</v>
      </c>
      <c r="G9" s="14" t="s">
        <v>290</v>
      </c>
      <c r="H9" s="14" t="s">
        <v>801</v>
      </c>
    </row>
    <row r="10" spans="1:8" ht="19.899999999999999" hidden="1" customHeight="1">
      <c r="A10" s="14" t="s">
        <v>789</v>
      </c>
      <c r="B10" s="14" t="s">
        <v>805</v>
      </c>
      <c r="C10" s="14" t="s">
        <v>806</v>
      </c>
      <c r="D10" s="16"/>
      <c r="E10" s="15"/>
      <c r="F10" s="14"/>
      <c r="G10" s="14" t="s">
        <v>290</v>
      </c>
      <c r="H10" s="14" t="s">
        <v>783</v>
      </c>
    </row>
    <row r="11" spans="1:8" ht="43.5" hidden="1" customHeight="1">
      <c r="A11" s="14" t="s">
        <v>789</v>
      </c>
      <c r="B11" s="14" t="s">
        <v>807</v>
      </c>
      <c r="C11" s="14" t="s">
        <v>808</v>
      </c>
      <c r="D11" s="16">
        <v>148400</v>
      </c>
      <c r="E11" s="15">
        <v>848</v>
      </c>
      <c r="F11" s="14" t="s">
        <v>809</v>
      </c>
      <c r="G11" s="14" t="s">
        <v>290</v>
      </c>
      <c r="H11" s="14" t="s">
        <v>783</v>
      </c>
    </row>
    <row r="12" spans="1:8" ht="72.400000000000006" customHeight="1">
      <c r="A12" s="14" t="s">
        <v>789</v>
      </c>
      <c r="B12" s="14" t="s">
        <v>810</v>
      </c>
      <c r="C12" s="14" t="s">
        <v>811</v>
      </c>
      <c r="D12" s="16">
        <v>160920</v>
      </c>
      <c r="E12" s="15">
        <v>2664</v>
      </c>
      <c r="F12" s="14" t="s">
        <v>812</v>
      </c>
      <c r="G12" s="14" t="s">
        <v>290</v>
      </c>
      <c r="H12" s="14" t="s">
        <v>801</v>
      </c>
    </row>
    <row r="13" spans="1:8" ht="43.5" hidden="1" customHeight="1">
      <c r="A13" s="14" t="s">
        <v>789</v>
      </c>
      <c r="B13" s="14" t="s">
        <v>813</v>
      </c>
      <c r="C13" s="14" t="s">
        <v>814</v>
      </c>
      <c r="D13" s="16">
        <v>25200</v>
      </c>
      <c r="E13" s="15">
        <v>144</v>
      </c>
      <c r="F13" s="14" t="s">
        <v>815</v>
      </c>
      <c r="G13" s="14" t="s">
        <v>383</v>
      </c>
      <c r="H13" s="14" t="s">
        <v>783</v>
      </c>
    </row>
    <row r="14" spans="1:8" ht="101.65" hidden="1" customHeight="1">
      <c r="A14" s="14" t="s">
        <v>789</v>
      </c>
      <c r="B14" s="14" t="s">
        <v>816</v>
      </c>
      <c r="C14" s="14" t="s">
        <v>817</v>
      </c>
      <c r="D14" s="16">
        <v>132980</v>
      </c>
      <c r="E14" s="15">
        <v>930</v>
      </c>
      <c r="F14" s="14" t="s">
        <v>818</v>
      </c>
      <c r="G14" s="14" t="s">
        <v>383</v>
      </c>
      <c r="H14" s="14" t="s">
        <v>783</v>
      </c>
    </row>
    <row r="15" spans="1:8" ht="43.5" hidden="1" customHeight="1">
      <c r="A15" s="14" t="s">
        <v>789</v>
      </c>
      <c r="B15" s="14" t="s">
        <v>819</v>
      </c>
      <c r="C15" s="14" t="s">
        <v>820</v>
      </c>
      <c r="D15" s="16">
        <v>178500</v>
      </c>
      <c r="E15" s="15">
        <v>1020</v>
      </c>
      <c r="F15" s="14" t="s">
        <v>821</v>
      </c>
      <c r="G15" s="14" t="s">
        <v>383</v>
      </c>
      <c r="H15" s="14" t="s">
        <v>783</v>
      </c>
    </row>
    <row r="16" spans="1:8" ht="43.5" hidden="1" customHeight="1">
      <c r="A16" s="14" t="s">
        <v>789</v>
      </c>
      <c r="B16" s="14" t="s">
        <v>822</v>
      </c>
      <c r="C16" s="14" t="s">
        <v>823</v>
      </c>
      <c r="D16" s="16">
        <v>105700</v>
      </c>
      <c r="E16" s="15">
        <v>604</v>
      </c>
      <c r="F16" s="14" t="s">
        <v>824</v>
      </c>
      <c r="G16" s="14" t="s">
        <v>383</v>
      </c>
      <c r="H16" s="14" t="s">
        <v>783</v>
      </c>
    </row>
    <row r="17" spans="1:8" ht="19.899999999999999" hidden="1" customHeight="1">
      <c r="A17" s="14" t="s">
        <v>825</v>
      </c>
      <c r="B17" s="14" t="s">
        <v>826</v>
      </c>
      <c r="C17" s="14"/>
      <c r="D17" s="16"/>
      <c r="E17" s="15"/>
      <c r="F17" s="14"/>
      <c r="G17" s="14" t="s">
        <v>441</v>
      </c>
      <c r="H17" s="14" t="s">
        <v>783</v>
      </c>
    </row>
    <row r="18" spans="1:8" ht="19.899999999999999" hidden="1" customHeight="1">
      <c r="A18" s="14" t="s">
        <v>825</v>
      </c>
      <c r="B18" s="14" t="s">
        <v>827</v>
      </c>
      <c r="C18" s="14"/>
      <c r="D18" s="16"/>
      <c r="E18" s="15"/>
      <c r="F18" s="14"/>
      <c r="G18" s="14" t="s">
        <v>290</v>
      </c>
      <c r="H18" s="14" t="s">
        <v>783</v>
      </c>
    </row>
    <row r="19" spans="1:8" ht="19.899999999999999" hidden="1" customHeight="1">
      <c r="A19" s="14" t="s">
        <v>311</v>
      </c>
      <c r="B19" s="14" t="s">
        <v>828</v>
      </c>
      <c r="C19" s="14"/>
      <c r="D19" s="16">
        <v>8750</v>
      </c>
      <c r="E19" s="15">
        <v>50</v>
      </c>
      <c r="F19" s="14"/>
      <c r="G19" s="14" t="s">
        <v>441</v>
      </c>
      <c r="H19" s="14" t="s">
        <v>783</v>
      </c>
    </row>
    <row r="20" spans="1:8" ht="28.9" customHeight="1">
      <c r="A20" s="14" t="s">
        <v>311</v>
      </c>
      <c r="B20" s="14" t="s">
        <v>829</v>
      </c>
      <c r="C20" s="14" t="s">
        <v>830</v>
      </c>
      <c r="D20" s="16"/>
      <c r="E20" s="15">
        <v>30</v>
      </c>
      <c r="F20" s="14"/>
      <c r="G20" s="14" t="s">
        <v>290</v>
      </c>
      <c r="H20" s="14" t="s">
        <v>801</v>
      </c>
    </row>
    <row r="21" spans="1:8" ht="19.899999999999999" hidden="1" customHeight="1">
      <c r="A21" s="14" t="s">
        <v>311</v>
      </c>
      <c r="B21" s="14" t="s">
        <v>831</v>
      </c>
      <c r="C21" s="14" t="s">
        <v>832</v>
      </c>
      <c r="D21" s="16"/>
      <c r="E21" s="15">
        <v>10</v>
      </c>
      <c r="F21" s="14"/>
      <c r="G21" s="14" t="s">
        <v>290</v>
      </c>
      <c r="H21" s="14" t="s">
        <v>783</v>
      </c>
    </row>
    <row r="22" spans="1:8" ht="19.899999999999999" hidden="1" customHeight="1">
      <c r="A22" s="14" t="s">
        <v>833</v>
      </c>
      <c r="B22" s="14" t="s">
        <v>834</v>
      </c>
      <c r="C22" s="14"/>
      <c r="D22" s="16">
        <v>9000</v>
      </c>
      <c r="E22" s="15"/>
      <c r="F22" s="14"/>
      <c r="G22" s="14" t="s">
        <v>290</v>
      </c>
      <c r="H22" s="14" t="s">
        <v>783</v>
      </c>
    </row>
    <row r="23" spans="1:8" ht="19.899999999999999" hidden="1" customHeight="1">
      <c r="A23" s="14" t="s">
        <v>835</v>
      </c>
      <c r="B23" s="14" t="s">
        <v>836</v>
      </c>
      <c r="C23" s="14"/>
      <c r="D23" s="16">
        <v>28600</v>
      </c>
      <c r="E23" s="15">
        <v>355</v>
      </c>
      <c r="F23" s="14"/>
      <c r="G23" s="14" t="s">
        <v>441</v>
      </c>
      <c r="H23" s="14" t="s">
        <v>783</v>
      </c>
    </row>
    <row r="24" spans="1:8" ht="19.899999999999999" hidden="1" customHeight="1">
      <c r="A24" s="14" t="s">
        <v>837</v>
      </c>
      <c r="B24" s="14" t="s">
        <v>838</v>
      </c>
      <c r="C24" s="14" t="s">
        <v>839</v>
      </c>
      <c r="D24" s="16">
        <v>175</v>
      </c>
      <c r="E24" s="15">
        <v>60</v>
      </c>
      <c r="F24" s="14"/>
      <c r="G24" s="14" t="s">
        <v>290</v>
      </c>
      <c r="H24" s="14" t="s">
        <v>783</v>
      </c>
    </row>
    <row r="25" spans="1:8" ht="19.899999999999999" hidden="1" customHeight="1">
      <c r="A25" s="14" t="s">
        <v>837</v>
      </c>
      <c r="B25" s="14" t="s">
        <v>840</v>
      </c>
      <c r="C25" s="14"/>
      <c r="D25" s="16"/>
      <c r="E25" s="15"/>
      <c r="F25" s="14"/>
      <c r="G25" s="14" t="s">
        <v>290</v>
      </c>
      <c r="H25" s="14" t="s">
        <v>783</v>
      </c>
    </row>
    <row r="26" spans="1:8" ht="19.899999999999999" customHeight="1">
      <c r="A26" s="14" t="s">
        <v>837</v>
      </c>
      <c r="B26" s="14" t="s">
        <v>841</v>
      </c>
      <c r="C26" s="14"/>
      <c r="D26" s="16"/>
      <c r="E26" s="15"/>
      <c r="F26" s="14"/>
      <c r="G26" s="14" t="s">
        <v>290</v>
      </c>
      <c r="H26" s="14" t="s">
        <v>801</v>
      </c>
    </row>
    <row r="27" spans="1:8" ht="19.899999999999999" hidden="1" customHeight="1">
      <c r="A27" s="14" t="s">
        <v>842</v>
      </c>
      <c r="B27" s="14" t="s">
        <v>843</v>
      </c>
      <c r="C27" s="14"/>
      <c r="D27" s="16">
        <v>36750</v>
      </c>
      <c r="E27" s="15">
        <v>270</v>
      </c>
      <c r="F27" s="14" t="s">
        <v>844</v>
      </c>
      <c r="G27" s="14" t="s">
        <v>441</v>
      </c>
      <c r="H27" s="14" t="s">
        <v>783</v>
      </c>
    </row>
    <row r="28" spans="1:8" ht="28.9" hidden="1" customHeight="1">
      <c r="A28" s="14" t="s">
        <v>842</v>
      </c>
      <c r="B28" s="14" t="s">
        <v>845</v>
      </c>
      <c r="C28" s="14" t="s">
        <v>846</v>
      </c>
      <c r="D28" s="16"/>
      <c r="E28" s="15"/>
      <c r="F28" s="14"/>
      <c r="G28" s="14" t="s">
        <v>290</v>
      </c>
      <c r="H28" s="14" t="s">
        <v>783</v>
      </c>
    </row>
    <row r="29" spans="1:8" ht="43.5" hidden="1" customHeight="1">
      <c r="A29" s="14" t="s">
        <v>847</v>
      </c>
      <c r="B29" s="14" t="s">
        <v>848</v>
      </c>
      <c r="C29" s="14" t="s">
        <v>849</v>
      </c>
      <c r="D29" s="16">
        <v>39600</v>
      </c>
      <c r="E29" s="15">
        <v>240</v>
      </c>
      <c r="F29" s="14"/>
      <c r="G29" s="14" t="s">
        <v>290</v>
      </c>
      <c r="H29" s="14" t="s">
        <v>783</v>
      </c>
    </row>
    <row r="30" spans="1:8" ht="19.899999999999999" hidden="1" customHeight="1">
      <c r="A30" s="14" t="s">
        <v>850</v>
      </c>
      <c r="B30" s="14" t="s">
        <v>851</v>
      </c>
      <c r="C30" s="14"/>
      <c r="D30" s="16">
        <v>7000</v>
      </c>
      <c r="E30" s="15">
        <v>40</v>
      </c>
      <c r="F30" s="14"/>
      <c r="G30" s="14" t="s">
        <v>290</v>
      </c>
      <c r="H30" s="14" t="s">
        <v>783</v>
      </c>
    </row>
    <row r="31" spans="1:8" ht="19.899999999999999" hidden="1" customHeight="1">
      <c r="A31" s="14" t="s">
        <v>850</v>
      </c>
      <c r="B31" s="14" t="s">
        <v>852</v>
      </c>
      <c r="C31" s="14"/>
      <c r="D31" s="16">
        <v>19240</v>
      </c>
      <c r="E31" s="15"/>
      <c r="F31" s="14"/>
      <c r="G31" s="14" t="s">
        <v>290</v>
      </c>
      <c r="H31" s="14" t="s">
        <v>783</v>
      </c>
    </row>
    <row r="32" spans="1:8" ht="43.5" hidden="1" customHeight="1">
      <c r="A32" s="14" t="s">
        <v>853</v>
      </c>
      <c r="B32" s="14" t="s">
        <v>854</v>
      </c>
      <c r="C32" s="14" t="s">
        <v>855</v>
      </c>
      <c r="D32" s="16">
        <v>6000</v>
      </c>
      <c r="E32" s="15">
        <v>40</v>
      </c>
      <c r="F32" s="14"/>
      <c r="G32" s="14" t="s">
        <v>290</v>
      </c>
      <c r="H32" s="14" t="s">
        <v>783</v>
      </c>
    </row>
    <row r="33" spans="1:8" ht="43.5" hidden="1" customHeight="1">
      <c r="A33" s="14" t="s">
        <v>853</v>
      </c>
      <c r="B33" s="14" t="s">
        <v>856</v>
      </c>
      <c r="C33" s="14" t="s">
        <v>857</v>
      </c>
      <c r="D33" s="16"/>
      <c r="E33" s="15">
        <v>50</v>
      </c>
      <c r="F33" s="14"/>
      <c r="G33" s="14" t="s">
        <v>383</v>
      </c>
      <c r="H33" s="14" t="s">
        <v>783</v>
      </c>
    </row>
    <row r="34" spans="1:8" ht="19.899999999999999" hidden="1" customHeight="1">
      <c r="A34" s="14" t="s">
        <v>853</v>
      </c>
      <c r="B34" s="14" t="s">
        <v>858</v>
      </c>
      <c r="C34" s="14" t="s">
        <v>859</v>
      </c>
      <c r="D34" s="16">
        <v>3000</v>
      </c>
      <c r="E34" s="15"/>
      <c r="F34" s="14"/>
      <c r="G34" s="14" t="s">
        <v>383</v>
      </c>
      <c r="H34" s="14" t="s">
        <v>783</v>
      </c>
    </row>
    <row r="35" spans="1:8" ht="19.899999999999999" hidden="1" customHeight="1">
      <c r="A35" s="14" t="s">
        <v>75</v>
      </c>
      <c r="B35" s="14" t="s">
        <v>860</v>
      </c>
      <c r="C35" s="14" t="s">
        <v>861</v>
      </c>
      <c r="D35" s="16">
        <v>15000</v>
      </c>
      <c r="E35" s="15"/>
      <c r="F35" s="14"/>
      <c r="G35" s="14" t="s">
        <v>290</v>
      </c>
      <c r="H35" s="14" t="s">
        <v>783</v>
      </c>
    </row>
    <row r="36" spans="1:8" ht="43.5" hidden="1" customHeight="1">
      <c r="A36" s="14" t="s">
        <v>75</v>
      </c>
      <c r="B36" s="14" t="s">
        <v>862</v>
      </c>
      <c r="C36" s="14" t="s">
        <v>863</v>
      </c>
      <c r="D36" s="16">
        <v>30000</v>
      </c>
      <c r="E36" s="15">
        <v>30000</v>
      </c>
      <c r="F36" s="14" t="s">
        <v>864</v>
      </c>
      <c r="G36" s="14" t="s">
        <v>383</v>
      </c>
      <c r="H36" s="14" t="s">
        <v>783</v>
      </c>
    </row>
    <row r="37" spans="1:8" ht="58.15" hidden="1" customHeight="1">
      <c r="A37" s="14" t="s">
        <v>75</v>
      </c>
      <c r="B37" s="14" t="s">
        <v>865</v>
      </c>
      <c r="C37" s="14" t="s">
        <v>866</v>
      </c>
      <c r="D37" s="16">
        <v>15000</v>
      </c>
      <c r="E37" s="15">
        <v>32</v>
      </c>
      <c r="F37" s="14" t="s">
        <v>867</v>
      </c>
      <c r="G37" s="14" t="s">
        <v>383</v>
      </c>
      <c r="H37" s="14" t="s">
        <v>706</v>
      </c>
    </row>
    <row r="38" spans="1:8" ht="43.5" hidden="1" customHeight="1">
      <c r="A38" s="14" t="s">
        <v>75</v>
      </c>
      <c r="B38" s="14" t="s">
        <v>868</v>
      </c>
      <c r="C38" s="14" t="s">
        <v>869</v>
      </c>
      <c r="D38" s="16">
        <v>25650</v>
      </c>
      <c r="E38" s="15">
        <v>190</v>
      </c>
      <c r="F38" s="14"/>
      <c r="G38" s="14" t="s">
        <v>441</v>
      </c>
      <c r="H38" s="14" t="s">
        <v>783</v>
      </c>
    </row>
    <row r="39" spans="1:8" ht="43.5" hidden="1" customHeight="1">
      <c r="A39" s="14" t="s">
        <v>870</v>
      </c>
      <c r="B39" s="14" t="s">
        <v>871</v>
      </c>
      <c r="C39" s="14"/>
      <c r="D39" s="16"/>
      <c r="E39" s="15">
        <v>50</v>
      </c>
      <c r="F39" s="14" t="s">
        <v>872</v>
      </c>
      <c r="G39" s="14" t="s">
        <v>571</v>
      </c>
      <c r="H39" s="14" t="s">
        <v>783</v>
      </c>
    </row>
    <row r="40" spans="1:8" ht="19.899999999999999" hidden="1" customHeight="1">
      <c r="A40" s="14" t="s">
        <v>354</v>
      </c>
      <c r="B40" s="14" t="s">
        <v>873</v>
      </c>
      <c r="C40" s="14"/>
      <c r="D40" s="16">
        <v>37800</v>
      </c>
      <c r="E40" s="15">
        <v>280</v>
      </c>
      <c r="F40" s="14"/>
      <c r="G40" s="14" t="s">
        <v>290</v>
      </c>
      <c r="H40" s="14" t="s">
        <v>783</v>
      </c>
    </row>
    <row r="41" spans="1:8" ht="43.5" hidden="1" customHeight="1">
      <c r="A41" s="14" t="s">
        <v>874</v>
      </c>
      <c r="B41" s="14" t="s">
        <v>875</v>
      </c>
      <c r="C41" s="14" t="s">
        <v>876</v>
      </c>
      <c r="D41" s="16"/>
      <c r="E41" s="15"/>
      <c r="F41" s="14" t="s">
        <v>877</v>
      </c>
      <c r="G41" s="14" t="s">
        <v>290</v>
      </c>
      <c r="H41" s="14" t="s">
        <v>783</v>
      </c>
    </row>
    <row r="42" spans="1:8" ht="19.899999999999999" hidden="1" customHeight="1">
      <c r="A42" s="14" t="s">
        <v>878</v>
      </c>
      <c r="B42" s="14" t="s">
        <v>879</v>
      </c>
      <c r="C42" s="14"/>
      <c r="D42" s="16"/>
      <c r="E42" s="15"/>
      <c r="F42" s="14"/>
      <c r="G42" s="14" t="s">
        <v>290</v>
      </c>
      <c r="H42" s="14" t="s">
        <v>783</v>
      </c>
    </row>
    <row r="43" spans="1:8" ht="19.899999999999999" customHeight="1">
      <c r="A43" s="14" t="s">
        <v>96</v>
      </c>
      <c r="B43" s="14" t="s">
        <v>880</v>
      </c>
      <c r="C43" s="14"/>
      <c r="D43" s="16">
        <v>3825</v>
      </c>
      <c r="E43" s="15">
        <v>30</v>
      </c>
      <c r="F43" s="14" t="s">
        <v>881</v>
      </c>
      <c r="G43" s="14" t="s">
        <v>290</v>
      </c>
      <c r="H43" s="14" t="s">
        <v>801</v>
      </c>
    </row>
    <row r="44" spans="1:8" ht="19.899999999999999" hidden="1" customHeight="1">
      <c r="A44" s="14" t="s">
        <v>96</v>
      </c>
      <c r="B44" s="14" t="s">
        <v>882</v>
      </c>
      <c r="C44" s="14"/>
      <c r="D44" s="16">
        <v>11250</v>
      </c>
      <c r="E44" s="15">
        <v>90</v>
      </c>
      <c r="F44" s="14"/>
      <c r="G44" s="14" t="s">
        <v>290</v>
      </c>
      <c r="H44" s="14" t="s">
        <v>783</v>
      </c>
    </row>
    <row r="45" spans="1:8" ht="19.899999999999999" hidden="1" customHeight="1">
      <c r="A45" s="14" t="s">
        <v>96</v>
      </c>
      <c r="B45" s="14" t="s">
        <v>883</v>
      </c>
      <c r="C45" s="14"/>
      <c r="D45" s="16">
        <v>100300</v>
      </c>
      <c r="E45" s="15">
        <v>920</v>
      </c>
      <c r="F45" s="14"/>
      <c r="G45" s="14" t="s">
        <v>416</v>
      </c>
      <c r="H45" s="14" t="s">
        <v>783</v>
      </c>
    </row>
    <row r="46" spans="1:8" ht="19.899999999999999" customHeight="1">
      <c r="A46" s="14" t="s">
        <v>96</v>
      </c>
      <c r="B46" s="14" t="s">
        <v>884</v>
      </c>
      <c r="C46" s="14"/>
      <c r="D46" s="16"/>
      <c r="E46" s="15"/>
      <c r="F46" s="14"/>
      <c r="G46" s="14" t="s">
        <v>290</v>
      </c>
      <c r="H46" s="14" t="s">
        <v>801</v>
      </c>
    </row>
    <row r="47" spans="1:8" ht="19.899999999999999" hidden="1" customHeight="1">
      <c r="A47" s="14" t="s">
        <v>96</v>
      </c>
      <c r="B47" s="14" t="s">
        <v>885</v>
      </c>
      <c r="C47" s="14"/>
      <c r="D47" s="16">
        <v>32250</v>
      </c>
      <c r="E47" s="15">
        <v>250</v>
      </c>
      <c r="F47" s="14"/>
      <c r="G47" s="14" t="s">
        <v>290</v>
      </c>
      <c r="H47" s="14" t="s">
        <v>783</v>
      </c>
    </row>
    <row r="48" spans="1:8" ht="28.9" hidden="1" customHeight="1">
      <c r="A48" s="14" t="s">
        <v>96</v>
      </c>
      <c r="B48" s="14" t="s">
        <v>886</v>
      </c>
      <c r="C48" s="14" t="s">
        <v>887</v>
      </c>
      <c r="D48" s="16">
        <v>21000</v>
      </c>
      <c r="E48" s="15">
        <v>5</v>
      </c>
      <c r="F48" s="14"/>
      <c r="G48" s="14" t="s">
        <v>290</v>
      </c>
      <c r="H48" s="14" t="s">
        <v>783</v>
      </c>
    </row>
    <row r="49" spans="1:8" ht="19.899999999999999" hidden="1" customHeight="1">
      <c r="A49" s="14" t="s">
        <v>96</v>
      </c>
      <c r="B49" s="14" t="s">
        <v>888</v>
      </c>
      <c r="C49" s="14"/>
      <c r="D49" s="16">
        <v>16800</v>
      </c>
      <c r="E49" s="15">
        <v>96</v>
      </c>
      <c r="F49" s="14"/>
      <c r="G49" s="14" t="s">
        <v>290</v>
      </c>
      <c r="H49" s="14" t="s">
        <v>783</v>
      </c>
    </row>
    <row r="50" spans="1:8" ht="19.899999999999999" hidden="1" customHeight="1">
      <c r="A50" s="14" t="s">
        <v>889</v>
      </c>
      <c r="B50" s="14" t="s">
        <v>890</v>
      </c>
      <c r="C50" s="14"/>
      <c r="D50" s="16">
        <v>21760</v>
      </c>
      <c r="E50" s="15">
        <v>40</v>
      </c>
      <c r="F50" s="14"/>
      <c r="G50" s="14" t="s">
        <v>383</v>
      </c>
      <c r="H50" s="14" t="s">
        <v>783</v>
      </c>
    </row>
    <row r="51" spans="1:8" ht="19.899999999999999" hidden="1" customHeight="1">
      <c r="A51" s="14" t="s">
        <v>891</v>
      </c>
      <c r="B51" s="14" t="s">
        <v>892</v>
      </c>
      <c r="C51" s="14"/>
      <c r="D51" s="16"/>
      <c r="E51" s="15"/>
      <c r="F51" s="14"/>
      <c r="G51" s="14" t="s">
        <v>290</v>
      </c>
      <c r="H51" s="14" t="s">
        <v>783</v>
      </c>
    </row>
    <row r="52" spans="1:8" ht="43.5" hidden="1" customHeight="1">
      <c r="A52" s="14" t="s">
        <v>891</v>
      </c>
      <c r="B52" s="14" t="s">
        <v>893</v>
      </c>
      <c r="C52" s="14"/>
      <c r="D52" s="16"/>
      <c r="E52" s="15"/>
      <c r="F52" s="14" t="s">
        <v>894</v>
      </c>
      <c r="G52" s="14" t="s">
        <v>290</v>
      </c>
      <c r="H52" s="14" t="s">
        <v>783</v>
      </c>
    </row>
    <row r="53" spans="1:8" ht="19.899999999999999" hidden="1" customHeight="1">
      <c r="A53" s="14" t="s">
        <v>891</v>
      </c>
      <c r="B53" s="14" t="s">
        <v>895</v>
      </c>
      <c r="C53" s="14" t="s">
        <v>896</v>
      </c>
      <c r="D53" s="16"/>
      <c r="E53" s="15"/>
      <c r="F53" s="14"/>
      <c r="G53" s="14" t="s">
        <v>290</v>
      </c>
      <c r="H53" s="14" t="s">
        <v>783</v>
      </c>
    </row>
    <row r="54" spans="1:8" ht="28.9" hidden="1" customHeight="1">
      <c r="A54" s="14" t="s">
        <v>620</v>
      </c>
      <c r="B54" s="14" t="s">
        <v>897</v>
      </c>
      <c r="C54" s="14" t="s">
        <v>898</v>
      </c>
      <c r="D54" s="16">
        <v>249000</v>
      </c>
      <c r="E54" s="15">
        <v>1660</v>
      </c>
      <c r="F54" s="14"/>
      <c r="G54" s="14" t="s">
        <v>383</v>
      </c>
      <c r="H54" s="14" t="s">
        <v>783</v>
      </c>
    </row>
    <row r="55" spans="1:8" ht="43.5" hidden="1" customHeight="1">
      <c r="A55" s="14" t="s">
        <v>620</v>
      </c>
      <c r="B55" s="14" t="s">
        <v>899</v>
      </c>
      <c r="C55" s="14" t="s">
        <v>900</v>
      </c>
      <c r="D55" s="16">
        <v>9600</v>
      </c>
      <c r="E55" s="15">
        <v>48</v>
      </c>
      <c r="F55" s="14"/>
      <c r="G55" s="14" t="s">
        <v>383</v>
      </c>
      <c r="H55" s="14" t="s">
        <v>783</v>
      </c>
    </row>
    <row r="56" spans="1:8" ht="19.899999999999999" hidden="1" customHeight="1">
      <c r="A56" s="14" t="s">
        <v>901</v>
      </c>
      <c r="B56" s="14" t="s">
        <v>902</v>
      </c>
      <c r="C56" s="14"/>
      <c r="D56" s="16"/>
      <c r="E56" s="15"/>
      <c r="F56" s="14"/>
      <c r="G56" s="14" t="s">
        <v>290</v>
      </c>
      <c r="H56" s="14" t="s">
        <v>783</v>
      </c>
    </row>
    <row r="57" spans="1:8" ht="19.899999999999999" hidden="1" customHeight="1">
      <c r="A57" s="14" t="s">
        <v>901</v>
      </c>
      <c r="B57" s="14" t="s">
        <v>903</v>
      </c>
      <c r="C57" s="14" t="s">
        <v>904</v>
      </c>
      <c r="D57" s="16">
        <v>198000</v>
      </c>
      <c r="E57" s="15">
        <v>1200</v>
      </c>
      <c r="F57" s="14"/>
      <c r="G57" s="14" t="s">
        <v>441</v>
      </c>
      <c r="H57" s="14" t="s">
        <v>783</v>
      </c>
    </row>
    <row r="58" spans="1:8" ht="28.9" hidden="1" customHeight="1">
      <c r="A58" s="14" t="s">
        <v>905</v>
      </c>
      <c r="B58" s="14" t="s">
        <v>906</v>
      </c>
      <c r="C58" s="14" t="s">
        <v>907</v>
      </c>
      <c r="D58" s="16">
        <v>85800</v>
      </c>
      <c r="E58" s="15">
        <v>520</v>
      </c>
      <c r="F58" s="14" t="s">
        <v>908</v>
      </c>
      <c r="G58" s="14" t="s">
        <v>383</v>
      </c>
      <c r="H58" s="14" t="s">
        <v>783</v>
      </c>
    </row>
    <row r="59" spans="1:8" ht="19.899999999999999" hidden="1" customHeight="1">
      <c r="A59" s="14" t="s">
        <v>909</v>
      </c>
      <c r="B59" s="14" t="s">
        <v>910</v>
      </c>
      <c r="C59" s="14"/>
      <c r="D59" s="16"/>
      <c r="E59" s="15"/>
      <c r="F59" s="14"/>
      <c r="G59" s="14" t="s">
        <v>290</v>
      </c>
      <c r="H59" s="14" t="s">
        <v>783</v>
      </c>
    </row>
    <row r="60" spans="1:8" ht="19.899999999999999" hidden="1" customHeight="1">
      <c r="A60" s="14" t="s">
        <v>909</v>
      </c>
      <c r="B60" s="14" t="s">
        <v>911</v>
      </c>
      <c r="C60" s="14"/>
      <c r="D60" s="16">
        <v>2000</v>
      </c>
      <c r="E60" s="15"/>
      <c r="F60" s="14"/>
      <c r="G60" s="14" t="s">
        <v>290</v>
      </c>
      <c r="H60" s="14" t="s">
        <v>783</v>
      </c>
    </row>
    <row r="61" spans="1:8" ht="19.899999999999999" hidden="1" customHeight="1">
      <c r="A61" s="14" t="s">
        <v>912</v>
      </c>
      <c r="B61" s="14" t="s">
        <v>841</v>
      </c>
      <c r="C61" s="14"/>
      <c r="D61" s="16"/>
      <c r="E61" s="15"/>
      <c r="F61" s="14"/>
      <c r="G61" s="14" t="s">
        <v>290</v>
      </c>
      <c r="H61" s="14" t="s">
        <v>783</v>
      </c>
    </row>
    <row r="62" spans="1:8" ht="43.5" hidden="1" customHeight="1">
      <c r="A62" s="14" t="s">
        <v>649</v>
      </c>
      <c r="B62" s="14" t="s">
        <v>913</v>
      </c>
      <c r="C62" s="14" t="s">
        <v>914</v>
      </c>
      <c r="D62" s="16">
        <v>254880</v>
      </c>
      <c r="E62" s="15"/>
      <c r="F62" s="14"/>
      <c r="G62" s="14" t="s">
        <v>290</v>
      </c>
      <c r="H62" s="14" t="s">
        <v>783</v>
      </c>
    </row>
    <row r="63" spans="1:8" ht="19.899999999999999" hidden="1" customHeight="1">
      <c r="A63" s="14" t="s">
        <v>649</v>
      </c>
      <c r="B63" s="14" t="s">
        <v>915</v>
      </c>
      <c r="C63" s="14"/>
      <c r="D63" s="16">
        <v>2560</v>
      </c>
      <c r="E63" s="15">
        <v>16</v>
      </c>
      <c r="F63" s="14"/>
      <c r="G63" s="14" t="s">
        <v>290</v>
      </c>
      <c r="H63" s="14" t="s">
        <v>783</v>
      </c>
    </row>
    <row r="64" spans="1:8" ht="28.9" hidden="1" customHeight="1">
      <c r="A64" s="14" t="s">
        <v>649</v>
      </c>
      <c r="B64" s="14" t="s">
        <v>916</v>
      </c>
      <c r="C64" s="14" t="s">
        <v>917</v>
      </c>
      <c r="D64" s="16"/>
      <c r="E64" s="15"/>
      <c r="F64" s="14"/>
      <c r="G64" s="14" t="s">
        <v>290</v>
      </c>
      <c r="H64" s="14" t="s">
        <v>783</v>
      </c>
    </row>
    <row r="65" spans="1:8" ht="43.5" hidden="1" customHeight="1">
      <c r="A65" s="14" t="s">
        <v>99</v>
      </c>
      <c r="B65" s="14" t="s">
        <v>918</v>
      </c>
      <c r="C65" s="14" t="s">
        <v>919</v>
      </c>
      <c r="D65" s="16">
        <v>19200</v>
      </c>
      <c r="E65" s="15">
        <v>96</v>
      </c>
      <c r="F65" s="14" t="s">
        <v>920</v>
      </c>
      <c r="G65" s="14" t="s">
        <v>290</v>
      </c>
      <c r="H65" s="14" t="s">
        <v>783</v>
      </c>
    </row>
    <row r="66" spans="1:8" ht="43.5" customHeight="1">
      <c r="A66" s="14" t="s">
        <v>99</v>
      </c>
      <c r="B66" s="14" t="s">
        <v>921</v>
      </c>
      <c r="C66" s="14" t="s">
        <v>380</v>
      </c>
      <c r="D66" s="16">
        <v>298500</v>
      </c>
      <c r="E66" s="15">
        <v>1300</v>
      </c>
      <c r="F66" s="14" t="s">
        <v>922</v>
      </c>
      <c r="G66" s="14" t="s">
        <v>290</v>
      </c>
      <c r="H66" s="14" t="s">
        <v>801</v>
      </c>
    </row>
    <row r="67" spans="1:8" ht="28.9" hidden="1" customHeight="1">
      <c r="A67" s="14" t="s">
        <v>923</v>
      </c>
      <c r="B67" s="14" t="s">
        <v>924</v>
      </c>
      <c r="C67" s="14"/>
      <c r="D67" s="16">
        <v>19000</v>
      </c>
      <c r="E67" s="15"/>
      <c r="F67" s="14"/>
      <c r="G67" s="14" t="s">
        <v>290</v>
      </c>
      <c r="H67" s="14" t="s">
        <v>783</v>
      </c>
    </row>
    <row r="68" spans="1:8" ht="19.899999999999999" hidden="1" customHeight="1">
      <c r="A68" s="14" t="s">
        <v>923</v>
      </c>
      <c r="B68" s="14" t="s">
        <v>925</v>
      </c>
      <c r="C68" s="14"/>
      <c r="D68" s="16">
        <v>112944</v>
      </c>
      <c r="E68" s="15"/>
      <c r="F68" s="14"/>
      <c r="G68" s="14" t="s">
        <v>290</v>
      </c>
      <c r="H68" s="14" t="s">
        <v>783</v>
      </c>
    </row>
    <row r="69" spans="1:8" ht="19.899999999999999" hidden="1" customHeight="1">
      <c r="A69" s="14" t="s">
        <v>926</v>
      </c>
      <c r="B69" s="14" t="s">
        <v>927</v>
      </c>
      <c r="C69" s="14"/>
      <c r="D69" s="16"/>
      <c r="E69" s="15"/>
      <c r="F69" s="14"/>
      <c r="G69" s="14" t="s">
        <v>290</v>
      </c>
      <c r="H69" s="14" t="s">
        <v>783</v>
      </c>
    </row>
    <row r="70" spans="1:8" ht="19.899999999999999" hidden="1" customHeight="1">
      <c r="A70" s="14" t="s">
        <v>928</v>
      </c>
      <c r="B70" s="14" t="s">
        <v>929</v>
      </c>
      <c r="C70" s="14"/>
      <c r="D70" s="16"/>
      <c r="E70" s="15"/>
      <c r="F70" s="14"/>
      <c r="G70" s="14" t="s">
        <v>290</v>
      </c>
      <c r="H70" s="14" t="s">
        <v>783</v>
      </c>
    </row>
    <row r="71" spans="1:8" ht="43.5" customHeight="1">
      <c r="A71" s="14" t="s">
        <v>384</v>
      </c>
      <c r="B71" s="14" t="s">
        <v>930</v>
      </c>
      <c r="C71" s="14" t="s">
        <v>395</v>
      </c>
      <c r="D71" s="16">
        <v>95700</v>
      </c>
      <c r="E71" s="15">
        <v>660</v>
      </c>
      <c r="F71" s="14"/>
      <c r="G71" s="14" t="s">
        <v>290</v>
      </c>
      <c r="H71" s="14" t="s">
        <v>801</v>
      </c>
    </row>
    <row r="72" spans="1:8" ht="87" hidden="1" customHeight="1">
      <c r="A72" s="14" t="s">
        <v>384</v>
      </c>
      <c r="B72" s="14" t="s">
        <v>931</v>
      </c>
      <c r="C72" s="14" t="s">
        <v>932</v>
      </c>
      <c r="D72" s="16">
        <v>13775</v>
      </c>
      <c r="E72" s="15">
        <v>95</v>
      </c>
      <c r="F72" s="14"/>
      <c r="G72" s="14" t="s">
        <v>290</v>
      </c>
      <c r="H72" s="14" t="s">
        <v>783</v>
      </c>
    </row>
    <row r="73" spans="1:8" ht="72.400000000000006" hidden="1" customHeight="1">
      <c r="A73" s="14" t="s">
        <v>384</v>
      </c>
      <c r="B73" s="14" t="s">
        <v>933</v>
      </c>
      <c r="C73" s="14" t="s">
        <v>934</v>
      </c>
      <c r="D73" s="16">
        <v>42000</v>
      </c>
      <c r="E73" s="15">
        <v>240</v>
      </c>
      <c r="F73" s="14" t="s">
        <v>935</v>
      </c>
      <c r="G73" s="14" t="s">
        <v>290</v>
      </c>
      <c r="H73" s="14" t="s">
        <v>783</v>
      </c>
    </row>
    <row r="74" spans="1:8" ht="28.9" hidden="1" customHeight="1">
      <c r="A74" s="14" t="s">
        <v>384</v>
      </c>
      <c r="B74" s="14" t="s">
        <v>936</v>
      </c>
      <c r="C74" s="14" t="s">
        <v>937</v>
      </c>
      <c r="D74" s="16"/>
      <c r="E74" s="15">
        <v>10</v>
      </c>
      <c r="F74" s="14"/>
      <c r="G74" s="14" t="s">
        <v>290</v>
      </c>
      <c r="H74" s="14" t="s">
        <v>783</v>
      </c>
    </row>
    <row r="75" spans="1:8" ht="72.400000000000006" customHeight="1">
      <c r="A75" s="14" t="s">
        <v>384</v>
      </c>
      <c r="B75" s="14" t="s">
        <v>938</v>
      </c>
      <c r="C75" s="14" t="s">
        <v>397</v>
      </c>
      <c r="D75" s="16">
        <v>25200</v>
      </c>
      <c r="E75" s="15">
        <v>144</v>
      </c>
      <c r="F75" s="14" t="s">
        <v>939</v>
      </c>
      <c r="G75" s="14" t="s">
        <v>383</v>
      </c>
      <c r="H75" s="14" t="s">
        <v>801</v>
      </c>
    </row>
    <row r="76" spans="1:8" ht="58.15" customHeight="1">
      <c r="A76" s="14" t="s">
        <v>384</v>
      </c>
      <c r="B76" s="14" t="s">
        <v>940</v>
      </c>
      <c r="C76" s="14" t="s">
        <v>403</v>
      </c>
      <c r="D76" s="16">
        <v>21000</v>
      </c>
      <c r="E76" s="15">
        <v>100</v>
      </c>
      <c r="F76" s="14" t="s">
        <v>941</v>
      </c>
      <c r="G76" s="14" t="s">
        <v>383</v>
      </c>
      <c r="H76" s="14" t="s">
        <v>801</v>
      </c>
    </row>
    <row r="77" spans="1:8" ht="58.15" hidden="1" customHeight="1">
      <c r="A77" s="14" t="s">
        <v>384</v>
      </c>
      <c r="B77" s="14" t="s">
        <v>942</v>
      </c>
      <c r="C77" s="14" t="s">
        <v>943</v>
      </c>
      <c r="D77" s="16">
        <v>11600</v>
      </c>
      <c r="E77" s="15">
        <v>80</v>
      </c>
      <c r="F77" s="14" t="s">
        <v>944</v>
      </c>
      <c r="G77" s="14" t="s">
        <v>290</v>
      </c>
      <c r="H77" s="14" t="s">
        <v>783</v>
      </c>
    </row>
    <row r="78" spans="1:8" ht="72.400000000000006" hidden="1" customHeight="1">
      <c r="A78" s="14" t="s">
        <v>384</v>
      </c>
      <c r="B78" s="14" t="s">
        <v>945</v>
      </c>
      <c r="C78" s="14" t="s">
        <v>946</v>
      </c>
      <c r="D78" s="16">
        <v>89320</v>
      </c>
      <c r="E78" s="15">
        <v>616</v>
      </c>
      <c r="F78" s="14" t="s">
        <v>947</v>
      </c>
      <c r="G78" s="14" t="s">
        <v>441</v>
      </c>
      <c r="H78" s="14" t="s">
        <v>783</v>
      </c>
    </row>
    <row r="79" spans="1:8" ht="19.899999999999999" hidden="1" customHeight="1">
      <c r="A79" s="14" t="s">
        <v>384</v>
      </c>
      <c r="B79" s="14" t="s">
        <v>948</v>
      </c>
      <c r="C79" s="14" t="s">
        <v>949</v>
      </c>
      <c r="D79" s="16">
        <v>286400</v>
      </c>
      <c r="E79" s="15"/>
      <c r="F79" s="14"/>
      <c r="G79" s="14" t="s">
        <v>290</v>
      </c>
      <c r="H79" s="14" t="s">
        <v>783</v>
      </c>
    </row>
    <row r="80" spans="1:8" ht="43.5" hidden="1" customHeight="1">
      <c r="A80" s="14" t="s">
        <v>950</v>
      </c>
      <c r="B80" s="14" t="s">
        <v>951</v>
      </c>
      <c r="C80" s="14" t="s">
        <v>952</v>
      </c>
      <c r="D80" s="16"/>
      <c r="E80" s="15"/>
      <c r="F80" s="14"/>
      <c r="G80" s="14" t="s">
        <v>441</v>
      </c>
      <c r="H80" s="14" t="s">
        <v>783</v>
      </c>
    </row>
    <row r="81" spans="1:8" ht="87" customHeight="1">
      <c r="A81" s="14" t="s">
        <v>102</v>
      </c>
      <c r="B81" s="14" t="s">
        <v>953</v>
      </c>
      <c r="C81" s="14" t="s">
        <v>408</v>
      </c>
      <c r="D81" s="16">
        <v>130000</v>
      </c>
      <c r="E81" s="15">
        <v>1040</v>
      </c>
      <c r="F81" s="14" t="s">
        <v>954</v>
      </c>
      <c r="G81" s="14" t="s">
        <v>290</v>
      </c>
      <c r="H81" s="14" t="s">
        <v>801</v>
      </c>
    </row>
    <row r="82" spans="1:8" ht="58.15" customHeight="1">
      <c r="A82" s="14" t="s">
        <v>102</v>
      </c>
      <c r="B82" s="14" t="s">
        <v>955</v>
      </c>
      <c r="C82" s="14" t="s">
        <v>406</v>
      </c>
      <c r="D82" s="16">
        <v>239200</v>
      </c>
      <c r="E82" s="15">
        <v>2080</v>
      </c>
      <c r="F82" s="14" t="s">
        <v>956</v>
      </c>
      <c r="G82" s="14" t="s">
        <v>290</v>
      </c>
      <c r="H82" s="14" t="s">
        <v>801</v>
      </c>
    </row>
    <row r="83" spans="1:8" ht="19.899999999999999" hidden="1" customHeight="1">
      <c r="A83" s="14" t="s">
        <v>102</v>
      </c>
      <c r="B83" s="14" t="s">
        <v>957</v>
      </c>
      <c r="C83" s="14" t="s">
        <v>958</v>
      </c>
      <c r="D83" s="16"/>
      <c r="E83" s="15"/>
      <c r="F83" s="14"/>
      <c r="G83" s="14" t="s">
        <v>441</v>
      </c>
      <c r="H83" s="14" t="s">
        <v>783</v>
      </c>
    </row>
    <row r="84" spans="1:8" ht="43.5" customHeight="1">
      <c r="A84" s="14" t="s">
        <v>412</v>
      </c>
      <c r="B84" s="14" t="s">
        <v>959</v>
      </c>
      <c r="C84" s="14" t="s">
        <v>414</v>
      </c>
      <c r="D84" s="16">
        <v>10500</v>
      </c>
      <c r="E84" s="15">
        <v>60</v>
      </c>
      <c r="F84" s="14"/>
      <c r="G84" s="14" t="s">
        <v>383</v>
      </c>
      <c r="H84" s="14" t="s">
        <v>801</v>
      </c>
    </row>
    <row r="85" spans="1:8" ht="19.899999999999999" customHeight="1">
      <c r="A85" s="14" t="s">
        <v>412</v>
      </c>
      <c r="B85" s="14" t="s">
        <v>960</v>
      </c>
      <c r="C85" s="14" t="s">
        <v>417</v>
      </c>
      <c r="D85" s="16">
        <v>86500</v>
      </c>
      <c r="E85" s="15">
        <v>640</v>
      </c>
      <c r="F85" s="14" t="s">
        <v>961</v>
      </c>
      <c r="G85" s="14" t="s">
        <v>416</v>
      </c>
      <c r="H85" s="14" t="s">
        <v>801</v>
      </c>
    </row>
    <row r="86" spans="1:8" ht="19.899999999999999" hidden="1" customHeight="1">
      <c r="A86" s="14" t="s">
        <v>412</v>
      </c>
      <c r="B86" s="14" t="s">
        <v>962</v>
      </c>
      <c r="C86" s="14"/>
      <c r="D86" s="16"/>
      <c r="E86" s="15"/>
      <c r="F86" s="14"/>
      <c r="G86" s="14" t="s">
        <v>383</v>
      </c>
      <c r="H86" s="14" t="s">
        <v>783</v>
      </c>
    </row>
    <row r="87" spans="1:8" ht="19.899999999999999" hidden="1" customHeight="1">
      <c r="A87" s="14" t="s">
        <v>412</v>
      </c>
      <c r="B87" s="14" t="s">
        <v>963</v>
      </c>
      <c r="C87" s="14"/>
      <c r="D87" s="16">
        <v>80500</v>
      </c>
      <c r="E87" s="15">
        <v>460</v>
      </c>
      <c r="F87" s="14"/>
      <c r="G87" s="14" t="s">
        <v>290</v>
      </c>
      <c r="H87" s="14" t="s">
        <v>783</v>
      </c>
    </row>
    <row r="88" spans="1:8" ht="19.899999999999999" hidden="1" customHeight="1">
      <c r="A88" s="14" t="s">
        <v>412</v>
      </c>
      <c r="B88" s="14" t="s">
        <v>964</v>
      </c>
      <c r="C88" s="14"/>
      <c r="D88" s="16">
        <v>50000</v>
      </c>
      <c r="E88" s="15">
        <v>330</v>
      </c>
      <c r="F88" s="14"/>
      <c r="G88" s="14" t="s">
        <v>290</v>
      </c>
      <c r="H88" s="14" t="s">
        <v>783</v>
      </c>
    </row>
    <row r="89" spans="1:8" ht="43.5" hidden="1" customHeight="1">
      <c r="A89" s="14" t="s">
        <v>412</v>
      </c>
      <c r="B89" s="14" t="s">
        <v>965</v>
      </c>
      <c r="C89" s="14" t="s">
        <v>966</v>
      </c>
      <c r="D89" s="16">
        <v>46200</v>
      </c>
      <c r="E89" s="15">
        <v>264</v>
      </c>
      <c r="F89" s="14" t="s">
        <v>967</v>
      </c>
      <c r="G89" s="14" t="s">
        <v>290</v>
      </c>
      <c r="H89" s="14" t="s">
        <v>783</v>
      </c>
    </row>
    <row r="90" spans="1:8" ht="19.899999999999999" hidden="1" customHeight="1">
      <c r="A90" s="14" t="s">
        <v>412</v>
      </c>
      <c r="B90" s="14" t="s">
        <v>968</v>
      </c>
      <c r="C90" s="14"/>
      <c r="D90" s="16">
        <v>24000</v>
      </c>
      <c r="E90" s="15"/>
      <c r="F90" s="14"/>
      <c r="G90" s="14" t="s">
        <v>290</v>
      </c>
      <c r="H90" s="14" t="s">
        <v>783</v>
      </c>
    </row>
    <row r="91" spans="1:8" ht="19.899999999999999" hidden="1" customHeight="1">
      <c r="A91" s="14" t="s">
        <v>111</v>
      </c>
      <c r="B91" s="14" t="s">
        <v>969</v>
      </c>
      <c r="C91" s="14"/>
      <c r="D91" s="16"/>
      <c r="E91" s="15"/>
      <c r="F91" s="14"/>
      <c r="G91" s="14" t="s">
        <v>290</v>
      </c>
      <c r="H91" s="14" t="s">
        <v>783</v>
      </c>
    </row>
    <row r="92" spans="1:8" ht="28.9" hidden="1" customHeight="1">
      <c r="A92" s="14" t="s">
        <v>111</v>
      </c>
      <c r="B92" s="14" t="s">
        <v>970</v>
      </c>
      <c r="C92" s="14" t="s">
        <v>971</v>
      </c>
      <c r="D92" s="16">
        <v>479200</v>
      </c>
      <c r="E92" s="15"/>
      <c r="F92" s="14"/>
      <c r="G92" s="14" t="s">
        <v>290</v>
      </c>
      <c r="H92" s="14" t="s">
        <v>783</v>
      </c>
    </row>
    <row r="93" spans="1:8" ht="19.899999999999999" customHeight="1">
      <c r="A93" s="14" t="s">
        <v>111</v>
      </c>
      <c r="B93" s="14" t="s">
        <v>972</v>
      </c>
      <c r="C93" s="14"/>
      <c r="D93" s="16"/>
      <c r="E93" s="15"/>
      <c r="F93" s="14"/>
      <c r="G93" s="14" t="s">
        <v>290</v>
      </c>
      <c r="H93" s="14" t="s">
        <v>801</v>
      </c>
    </row>
    <row r="94" spans="1:8" ht="19.899999999999999" customHeight="1">
      <c r="A94" s="14" t="s">
        <v>111</v>
      </c>
      <c r="B94" s="14" t="s">
        <v>973</v>
      </c>
      <c r="C94" s="14" t="s">
        <v>422</v>
      </c>
      <c r="D94" s="16"/>
      <c r="E94" s="15"/>
      <c r="F94" s="14"/>
      <c r="G94" s="14" t="s">
        <v>290</v>
      </c>
      <c r="H94" s="14" t="s">
        <v>801</v>
      </c>
    </row>
    <row r="95" spans="1:8" ht="43.5" hidden="1" customHeight="1">
      <c r="A95" s="14" t="s">
        <v>111</v>
      </c>
      <c r="B95" s="14" t="s">
        <v>974</v>
      </c>
      <c r="C95" s="14" t="s">
        <v>975</v>
      </c>
      <c r="D95" s="16">
        <v>40000</v>
      </c>
      <c r="E95" s="15">
        <v>200</v>
      </c>
      <c r="F95" s="14"/>
      <c r="G95" s="14" t="s">
        <v>441</v>
      </c>
      <c r="H95" s="14" t="s">
        <v>783</v>
      </c>
    </row>
    <row r="96" spans="1:8" ht="19.899999999999999" hidden="1" customHeight="1">
      <c r="A96" s="14" t="s">
        <v>111</v>
      </c>
      <c r="B96" s="14" t="s">
        <v>976</v>
      </c>
      <c r="C96" s="14"/>
      <c r="D96" s="16">
        <v>479200</v>
      </c>
      <c r="E96" s="15"/>
      <c r="F96" s="14"/>
      <c r="G96" s="14" t="s">
        <v>290</v>
      </c>
      <c r="H96" s="14" t="s">
        <v>783</v>
      </c>
    </row>
    <row r="97" spans="1:8" ht="43.5" hidden="1" customHeight="1">
      <c r="A97" s="14" t="s">
        <v>111</v>
      </c>
      <c r="B97" s="14" t="s">
        <v>977</v>
      </c>
      <c r="C97" s="14" t="s">
        <v>978</v>
      </c>
      <c r="D97" s="16">
        <v>1432546</v>
      </c>
      <c r="E97" s="15"/>
      <c r="F97" s="14"/>
      <c r="G97" s="14" t="s">
        <v>290</v>
      </c>
      <c r="H97" s="14" t="s">
        <v>783</v>
      </c>
    </row>
    <row r="98" spans="1:8" ht="43.5" hidden="1" customHeight="1">
      <c r="A98" s="14" t="s">
        <v>111</v>
      </c>
      <c r="B98" s="14" t="s">
        <v>979</v>
      </c>
      <c r="C98" s="14" t="s">
        <v>980</v>
      </c>
      <c r="D98" s="16">
        <v>25000</v>
      </c>
      <c r="E98" s="15">
        <v>120</v>
      </c>
      <c r="F98" s="14"/>
      <c r="G98" s="14" t="s">
        <v>290</v>
      </c>
      <c r="H98" s="14" t="s">
        <v>783</v>
      </c>
    </row>
    <row r="99" spans="1:8" ht="19.899999999999999" hidden="1" customHeight="1">
      <c r="A99" s="14" t="s">
        <v>981</v>
      </c>
      <c r="B99" s="14" t="s">
        <v>982</v>
      </c>
      <c r="C99" s="14"/>
      <c r="D99" s="16">
        <v>12400</v>
      </c>
      <c r="E99" s="15"/>
      <c r="F99" s="14"/>
      <c r="G99" s="14" t="s">
        <v>290</v>
      </c>
      <c r="H99" s="14" t="s">
        <v>783</v>
      </c>
    </row>
    <row r="100" spans="1:8" ht="19.899999999999999" customHeight="1">
      <c r="A100" s="14" t="s">
        <v>109</v>
      </c>
      <c r="B100" s="14" t="s">
        <v>983</v>
      </c>
      <c r="C100" s="14"/>
      <c r="D100" s="16">
        <v>24000</v>
      </c>
      <c r="E100" s="15"/>
      <c r="F100" s="14"/>
      <c r="G100" s="14" t="s">
        <v>290</v>
      </c>
      <c r="H100" s="14" t="s">
        <v>801</v>
      </c>
    </row>
    <row r="101" spans="1:8" ht="43.5" hidden="1" customHeight="1">
      <c r="A101" s="14" t="s">
        <v>984</v>
      </c>
      <c r="B101" s="14" t="s">
        <v>985</v>
      </c>
      <c r="C101" s="14" t="s">
        <v>986</v>
      </c>
      <c r="D101" s="16">
        <v>30000</v>
      </c>
      <c r="E101" s="15"/>
      <c r="F101" s="14"/>
      <c r="G101" s="14" t="s">
        <v>290</v>
      </c>
      <c r="H101" s="14" t="s">
        <v>783</v>
      </c>
    </row>
    <row r="102" spans="1:8" ht="58.15" hidden="1" customHeight="1">
      <c r="A102" s="14" t="s">
        <v>987</v>
      </c>
      <c r="B102" s="14" t="s">
        <v>988</v>
      </c>
      <c r="C102" s="14"/>
      <c r="D102" s="16">
        <v>16000</v>
      </c>
      <c r="E102" s="15"/>
      <c r="F102" s="14" t="s">
        <v>989</v>
      </c>
      <c r="G102" s="14" t="s">
        <v>571</v>
      </c>
      <c r="H102" s="14" t="s">
        <v>783</v>
      </c>
    </row>
    <row r="103" spans="1:8" ht="28.9" hidden="1" customHeight="1">
      <c r="A103" s="14" t="s">
        <v>987</v>
      </c>
      <c r="B103" s="14" t="s">
        <v>990</v>
      </c>
      <c r="C103" s="14" t="s">
        <v>991</v>
      </c>
      <c r="D103" s="16">
        <v>1663</v>
      </c>
      <c r="E103" s="15">
        <v>10</v>
      </c>
      <c r="F103" s="14"/>
      <c r="G103" s="14" t="s">
        <v>290</v>
      </c>
      <c r="H103" s="14" t="s">
        <v>783</v>
      </c>
    </row>
    <row r="104" spans="1:8" ht="43.5" hidden="1" customHeight="1">
      <c r="A104" s="14" t="s">
        <v>992</v>
      </c>
      <c r="B104" s="14" t="s">
        <v>993</v>
      </c>
      <c r="C104" s="14" t="s">
        <v>994</v>
      </c>
      <c r="D104" s="16">
        <v>22200</v>
      </c>
      <c r="E104" s="15">
        <v>120</v>
      </c>
      <c r="F104" s="14"/>
      <c r="G104" s="14" t="s">
        <v>290</v>
      </c>
      <c r="H104" s="14" t="s">
        <v>783</v>
      </c>
    </row>
    <row r="105" spans="1:8" ht="19.899999999999999" hidden="1" customHeight="1">
      <c r="A105" s="14" t="s">
        <v>995</v>
      </c>
      <c r="B105" s="14" t="s">
        <v>996</v>
      </c>
      <c r="C105" s="14"/>
      <c r="D105" s="16"/>
      <c r="E105" s="15">
        <v>164</v>
      </c>
      <c r="F105" s="14"/>
      <c r="G105" s="14" t="s">
        <v>290</v>
      </c>
      <c r="H105" s="14" t="s">
        <v>783</v>
      </c>
    </row>
    <row r="106" spans="1:8" ht="19.899999999999999" customHeight="1">
      <c r="A106" s="14" t="s">
        <v>120</v>
      </c>
      <c r="B106" s="14" t="s">
        <v>997</v>
      </c>
      <c r="C106" s="14" t="s">
        <v>442</v>
      </c>
      <c r="D106" s="16"/>
      <c r="E106" s="15"/>
      <c r="F106" s="14"/>
      <c r="G106" s="14" t="s">
        <v>441</v>
      </c>
      <c r="H106" s="14" t="s">
        <v>801</v>
      </c>
    </row>
    <row r="107" spans="1:8" ht="72.400000000000006" hidden="1" customHeight="1">
      <c r="A107" s="14" t="s">
        <v>120</v>
      </c>
      <c r="B107" s="14" t="s">
        <v>998</v>
      </c>
      <c r="C107" s="14" t="s">
        <v>999</v>
      </c>
      <c r="D107" s="16">
        <v>0</v>
      </c>
      <c r="E107" s="15">
        <v>0</v>
      </c>
      <c r="F107" s="14" t="s">
        <v>1000</v>
      </c>
      <c r="G107" s="14" t="s">
        <v>290</v>
      </c>
      <c r="H107" s="14" t="s">
        <v>783</v>
      </c>
    </row>
    <row r="108" spans="1:8" ht="28.9" hidden="1" customHeight="1">
      <c r="A108" s="14" t="s">
        <v>1001</v>
      </c>
      <c r="B108" s="14" t="s">
        <v>1002</v>
      </c>
      <c r="C108" s="14" t="s">
        <v>1003</v>
      </c>
      <c r="D108" s="16"/>
      <c r="E108" s="15"/>
      <c r="F108" s="14"/>
      <c r="G108" s="14" t="s">
        <v>290</v>
      </c>
      <c r="H108" s="14" t="s">
        <v>783</v>
      </c>
    </row>
    <row r="109" spans="1:8" ht="19.899999999999999" hidden="1" customHeight="1">
      <c r="A109" s="14" t="s">
        <v>1004</v>
      </c>
      <c r="B109" s="14" t="s">
        <v>1005</v>
      </c>
      <c r="C109" s="14" t="s">
        <v>1006</v>
      </c>
      <c r="D109" s="16">
        <v>3500</v>
      </c>
      <c r="E109" s="15">
        <v>20</v>
      </c>
      <c r="F109" s="14"/>
      <c r="G109" s="14" t="s">
        <v>290</v>
      </c>
      <c r="H109" s="14" t="s">
        <v>783</v>
      </c>
    </row>
    <row r="110" spans="1:8" ht="19.899999999999999" hidden="1" customHeight="1">
      <c r="A110" s="14" t="s">
        <v>137</v>
      </c>
      <c r="B110" s="14" t="s">
        <v>1007</v>
      </c>
      <c r="C110" s="14"/>
      <c r="D110" s="16"/>
      <c r="E110" s="15"/>
      <c r="F110" s="14"/>
      <c r="G110" s="14" t="s">
        <v>290</v>
      </c>
      <c r="H110" s="14" t="s">
        <v>783</v>
      </c>
    </row>
    <row r="111" spans="1:8" ht="43.5" hidden="1" customHeight="1">
      <c r="A111" s="14" t="s">
        <v>1008</v>
      </c>
      <c r="B111" s="14" t="s">
        <v>1009</v>
      </c>
      <c r="C111" s="14" t="s">
        <v>1010</v>
      </c>
      <c r="D111" s="16">
        <v>49000</v>
      </c>
      <c r="E111" s="15">
        <v>196</v>
      </c>
      <c r="F111" s="14"/>
      <c r="G111" s="14" t="s">
        <v>290</v>
      </c>
      <c r="H111" s="14" t="s">
        <v>783</v>
      </c>
    </row>
    <row r="112" spans="1:8" ht="43.5" hidden="1" customHeight="1">
      <c r="A112" s="14" t="s">
        <v>1011</v>
      </c>
      <c r="B112" s="14" t="s">
        <v>1012</v>
      </c>
      <c r="C112" s="14" t="s">
        <v>1013</v>
      </c>
      <c r="D112" s="16">
        <v>85000</v>
      </c>
      <c r="E112" s="15"/>
      <c r="F112" s="14"/>
      <c r="G112" s="14" t="s">
        <v>290</v>
      </c>
      <c r="H112" s="14" t="s">
        <v>783</v>
      </c>
    </row>
    <row r="113" spans="1:8" ht="43.5" hidden="1" customHeight="1">
      <c r="A113" s="14" t="s">
        <v>1011</v>
      </c>
      <c r="B113" s="14" t="s">
        <v>1014</v>
      </c>
      <c r="C113" s="14" t="s">
        <v>1015</v>
      </c>
      <c r="D113" s="16">
        <v>69300</v>
      </c>
      <c r="E113" s="15">
        <v>396</v>
      </c>
      <c r="F113" s="14"/>
      <c r="G113" s="14" t="s">
        <v>290</v>
      </c>
      <c r="H113" s="14" t="s">
        <v>783</v>
      </c>
    </row>
    <row r="114" spans="1:8" ht="19.899999999999999" hidden="1" customHeight="1">
      <c r="A114" s="14" t="s">
        <v>1011</v>
      </c>
      <c r="B114" s="14" t="s">
        <v>1016</v>
      </c>
      <c r="C114" s="14"/>
      <c r="D114" s="16"/>
      <c r="E114" s="15"/>
      <c r="F114" s="14"/>
      <c r="G114" s="14" t="s">
        <v>290</v>
      </c>
      <c r="H114" s="14" t="s">
        <v>783</v>
      </c>
    </row>
    <row r="115" spans="1:8" ht="43.5" hidden="1" customHeight="1">
      <c r="A115" s="14" t="s">
        <v>1011</v>
      </c>
      <c r="B115" s="14" t="s">
        <v>1017</v>
      </c>
      <c r="C115" s="14" t="s">
        <v>1018</v>
      </c>
      <c r="D115" s="16">
        <v>136000</v>
      </c>
      <c r="E115" s="15">
        <v>600</v>
      </c>
      <c r="F115" s="14" t="s">
        <v>1019</v>
      </c>
      <c r="G115" s="14" t="s">
        <v>290</v>
      </c>
      <c r="H115" s="14" t="s">
        <v>783</v>
      </c>
    </row>
    <row r="116" spans="1:8" ht="19.899999999999999" hidden="1" customHeight="1">
      <c r="A116" s="14" t="s">
        <v>1011</v>
      </c>
      <c r="B116" s="14" t="s">
        <v>1020</v>
      </c>
      <c r="C116" s="14"/>
      <c r="D116" s="16">
        <v>17000</v>
      </c>
      <c r="E116" s="15">
        <v>100</v>
      </c>
      <c r="F116" s="14"/>
      <c r="G116" s="14" t="s">
        <v>290</v>
      </c>
      <c r="H116" s="14" t="s">
        <v>783</v>
      </c>
    </row>
    <row r="117" spans="1:8" ht="43.5" hidden="1" customHeight="1">
      <c r="A117" s="14" t="s">
        <v>1011</v>
      </c>
      <c r="B117" s="14" t="s">
        <v>1021</v>
      </c>
      <c r="C117" s="14" t="s">
        <v>1022</v>
      </c>
      <c r="D117" s="16"/>
      <c r="E117" s="15"/>
      <c r="F117" s="14"/>
      <c r="G117" s="14" t="s">
        <v>383</v>
      </c>
      <c r="H117" s="14" t="s">
        <v>783</v>
      </c>
    </row>
    <row r="118" spans="1:8" ht="43.5" hidden="1" customHeight="1">
      <c r="A118" s="14" t="s">
        <v>1011</v>
      </c>
      <c r="B118" s="14" t="s">
        <v>1023</v>
      </c>
      <c r="C118" s="14" t="s">
        <v>1024</v>
      </c>
      <c r="D118" s="16">
        <v>67200</v>
      </c>
      <c r="E118" s="15">
        <v>384</v>
      </c>
      <c r="F118" s="14" t="s">
        <v>1025</v>
      </c>
      <c r="G118" s="14" t="s">
        <v>290</v>
      </c>
      <c r="H118" s="14" t="s">
        <v>783</v>
      </c>
    </row>
    <row r="119" spans="1:8" ht="19.899999999999999" hidden="1" customHeight="1">
      <c r="A119" s="14" t="s">
        <v>1011</v>
      </c>
      <c r="B119" s="14" t="s">
        <v>1026</v>
      </c>
      <c r="C119" s="14"/>
      <c r="D119" s="16"/>
      <c r="E119" s="15"/>
      <c r="F119" s="14"/>
      <c r="G119" s="14" t="s">
        <v>290</v>
      </c>
      <c r="H119" s="14" t="s">
        <v>783</v>
      </c>
    </row>
    <row r="120" spans="1:8" ht="19.899999999999999" hidden="1" customHeight="1">
      <c r="A120" s="14" t="s">
        <v>126</v>
      </c>
      <c r="B120" s="14" t="s">
        <v>1027</v>
      </c>
      <c r="C120" s="14" t="s">
        <v>1028</v>
      </c>
      <c r="D120" s="16"/>
      <c r="E120" s="15"/>
      <c r="F120" s="14"/>
      <c r="G120" s="14" t="s">
        <v>441</v>
      </c>
      <c r="H120" s="14" t="s">
        <v>783</v>
      </c>
    </row>
    <row r="121" spans="1:8" ht="28.9" customHeight="1">
      <c r="A121" s="14" t="s">
        <v>126</v>
      </c>
      <c r="B121" s="14" t="s">
        <v>1029</v>
      </c>
      <c r="C121" s="14" t="s">
        <v>1030</v>
      </c>
      <c r="D121" s="16"/>
      <c r="E121" s="15"/>
      <c r="F121" s="14" t="s">
        <v>1031</v>
      </c>
      <c r="G121" s="14" t="s">
        <v>290</v>
      </c>
      <c r="H121" s="14" t="s">
        <v>801</v>
      </c>
    </row>
    <row r="122" spans="1:8" ht="19.899999999999999" hidden="1" customHeight="1">
      <c r="A122" s="14" t="s">
        <v>126</v>
      </c>
      <c r="B122" s="14" t="s">
        <v>1032</v>
      </c>
      <c r="C122" s="14"/>
      <c r="D122" s="16"/>
      <c r="E122" s="15"/>
      <c r="F122" s="14" t="s">
        <v>1033</v>
      </c>
      <c r="G122" s="14" t="s">
        <v>290</v>
      </c>
      <c r="H122" s="14" t="s">
        <v>783</v>
      </c>
    </row>
    <row r="123" spans="1:8" ht="28.9" hidden="1" customHeight="1">
      <c r="A123" s="14" t="s">
        <v>126</v>
      </c>
      <c r="B123" s="14" t="s">
        <v>1034</v>
      </c>
      <c r="C123" s="14" t="s">
        <v>1035</v>
      </c>
      <c r="D123" s="16">
        <v>35875</v>
      </c>
      <c r="E123" s="15">
        <v>205</v>
      </c>
      <c r="F123" s="14"/>
      <c r="G123" s="14" t="s">
        <v>290</v>
      </c>
      <c r="H123" s="14" t="s">
        <v>783</v>
      </c>
    </row>
    <row r="124" spans="1:8" ht="19.899999999999999" hidden="1" customHeight="1">
      <c r="A124" s="14" t="s">
        <v>126</v>
      </c>
      <c r="B124" s="14" t="s">
        <v>1036</v>
      </c>
      <c r="C124" s="14"/>
      <c r="D124" s="16"/>
      <c r="E124" s="15"/>
      <c r="F124" s="14"/>
      <c r="G124" s="14" t="s">
        <v>290</v>
      </c>
      <c r="H124" s="14" t="s">
        <v>783</v>
      </c>
    </row>
    <row r="125" spans="1:8" ht="19.899999999999999" hidden="1" customHeight="1">
      <c r="A125" s="14" t="s">
        <v>126</v>
      </c>
      <c r="B125" s="14" t="s">
        <v>1037</v>
      </c>
      <c r="C125" s="14"/>
      <c r="D125" s="16"/>
      <c r="E125" s="15"/>
      <c r="F125" s="14"/>
      <c r="G125" s="14" t="s">
        <v>441</v>
      </c>
      <c r="H125" s="14" t="s">
        <v>783</v>
      </c>
    </row>
    <row r="126" spans="1:8" ht="19.899999999999999" hidden="1" customHeight="1">
      <c r="A126" s="14" t="s">
        <v>126</v>
      </c>
      <c r="B126" s="14" t="s">
        <v>1038</v>
      </c>
      <c r="C126" s="14" t="s">
        <v>1039</v>
      </c>
      <c r="D126" s="16"/>
      <c r="E126" s="15"/>
      <c r="F126" s="14"/>
      <c r="G126" s="14" t="s">
        <v>441</v>
      </c>
      <c r="H126" s="14" t="s">
        <v>783</v>
      </c>
    </row>
    <row r="127" spans="1:8" ht="72.400000000000006" hidden="1" customHeight="1">
      <c r="A127" s="14" t="s">
        <v>126</v>
      </c>
      <c r="B127" s="14" t="s">
        <v>1040</v>
      </c>
      <c r="C127" s="14" t="s">
        <v>1041</v>
      </c>
      <c r="D127" s="16">
        <v>53000</v>
      </c>
      <c r="E127" s="15">
        <v>360</v>
      </c>
      <c r="F127" s="14" t="s">
        <v>1042</v>
      </c>
      <c r="G127" s="14" t="s">
        <v>290</v>
      </c>
      <c r="H127" s="14" t="s">
        <v>783</v>
      </c>
    </row>
    <row r="128" spans="1:8" ht="43.5" hidden="1" customHeight="1">
      <c r="A128" s="14" t="s">
        <v>126</v>
      </c>
      <c r="B128" s="14" t="s">
        <v>1043</v>
      </c>
      <c r="C128" s="14" t="s">
        <v>1044</v>
      </c>
      <c r="D128" s="16">
        <v>11900</v>
      </c>
      <c r="E128" s="15">
        <v>80</v>
      </c>
      <c r="F128" s="14" t="s">
        <v>1045</v>
      </c>
      <c r="G128" s="14" t="s">
        <v>290</v>
      </c>
      <c r="H128" s="14" t="s">
        <v>783</v>
      </c>
    </row>
    <row r="129" spans="1:8" ht="19.899999999999999" hidden="1" customHeight="1">
      <c r="A129" s="14" t="s">
        <v>1046</v>
      </c>
      <c r="B129" s="14" t="s">
        <v>1047</v>
      </c>
      <c r="C129" s="14"/>
      <c r="D129" s="16"/>
      <c r="E129" s="15"/>
      <c r="F129" s="14"/>
      <c r="G129" s="14" t="s">
        <v>290</v>
      </c>
      <c r="H129" s="14" t="s">
        <v>783</v>
      </c>
    </row>
    <row r="130" spans="1:8" ht="19.899999999999999" hidden="1" customHeight="1">
      <c r="A130" s="14" t="s">
        <v>1046</v>
      </c>
      <c r="B130" s="14" t="s">
        <v>841</v>
      </c>
      <c r="C130" s="14"/>
      <c r="D130" s="16"/>
      <c r="E130" s="15"/>
      <c r="F130" s="14"/>
      <c r="G130" s="14" t="s">
        <v>290</v>
      </c>
      <c r="H130" s="14" t="s">
        <v>783</v>
      </c>
    </row>
    <row r="131" spans="1:8" ht="19.899999999999999" hidden="1" customHeight="1">
      <c r="A131" s="14" t="s">
        <v>1046</v>
      </c>
      <c r="B131" s="14" t="s">
        <v>1048</v>
      </c>
      <c r="C131" s="14"/>
      <c r="D131" s="16"/>
      <c r="E131" s="15"/>
      <c r="F131" s="14"/>
      <c r="G131" s="14" t="s">
        <v>290</v>
      </c>
      <c r="H131" s="14" t="s">
        <v>783</v>
      </c>
    </row>
    <row r="132" spans="1:8" ht="19.899999999999999" hidden="1" customHeight="1">
      <c r="A132" s="14" t="s">
        <v>1046</v>
      </c>
      <c r="B132" s="14" t="s">
        <v>1049</v>
      </c>
      <c r="C132" s="14"/>
      <c r="D132" s="16"/>
      <c r="E132" s="15"/>
      <c r="F132" s="14"/>
      <c r="G132" s="14" t="s">
        <v>290</v>
      </c>
      <c r="H132" s="14" t="s">
        <v>783</v>
      </c>
    </row>
    <row r="133" spans="1:8" ht="19.899999999999999" hidden="1" customHeight="1">
      <c r="A133" s="14" t="s">
        <v>1046</v>
      </c>
      <c r="B133" s="14" t="s">
        <v>1050</v>
      </c>
      <c r="C133" s="14"/>
      <c r="D133" s="16"/>
      <c r="E133" s="15"/>
      <c r="F133" s="14"/>
      <c r="G133" s="14" t="s">
        <v>290</v>
      </c>
      <c r="H133" s="14" t="s">
        <v>783</v>
      </c>
    </row>
    <row r="134" spans="1:8" ht="19.899999999999999" hidden="1" customHeight="1">
      <c r="A134" s="14" t="s">
        <v>127</v>
      </c>
      <c r="B134" s="14" t="s">
        <v>1051</v>
      </c>
      <c r="C134" s="14"/>
      <c r="D134" s="16"/>
      <c r="E134" s="15"/>
      <c r="F134" s="14"/>
      <c r="G134" s="14" t="s">
        <v>290</v>
      </c>
      <c r="H134" s="14" t="s">
        <v>783</v>
      </c>
    </row>
    <row r="135" spans="1:8" ht="43.5" hidden="1" customHeight="1">
      <c r="A135" s="14" t="s">
        <v>127</v>
      </c>
      <c r="B135" s="14" t="s">
        <v>1052</v>
      </c>
      <c r="C135" s="14" t="s">
        <v>1053</v>
      </c>
      <c r="D135" s="16">
        <v>35200</v>
      </c>
      <c r="E135" s="15"/>
      <c r="F135" s="14"/>
      <c r="G135" s="14" t="s">
        <v>290</v>
      </c>
      <c r="H135" s="14" t="s">
        <v>783</v>
      </c>
    </row>
    <row r="136" spans="1:8" ht="19.899999999999999" customHeight="1">
      <c r="A136" s="14" t="s">
        <v>138</v>
      </c>
      <c r="B136" s="14" t="s">
        <v>1054</v>
      </c>
      <c r="C136" s="14"/>
      <c r="D136" s="16"/>
      <c r="E136" s="15">
        <v>155</v>
      </c>
      <c r="F136" s="14"/>
      <c r="G136" s="14" t="s">
        <v>290</v>
      </c>
      <c r="H136" s="14" t="s">
        <v>801</v>
      </c>
    </row>
    <row r="137" spans="1:8" ht="43.5" hidden="1" customHeight="1">
      <c r="A137" s="14" t="s">
        <v>143</v>
      </c>
      <c r="B137" s="14" t="s">
        <v>1055</v>
      </c>
      <c r="C137" s="14" t="s">
        <v>1056</v>
      </c>
      <c r="D137" s="16">
        <v>40250</v>
      </c>
      <c r="E137" s="15">
        <v>230</v>
      </c>
      <c r="F137" s="14"/>
      <c r="G137" s="14" t="s">
        <v>290</v>
      </c>
      <c r="H137" s="14" t="s">
        <v>783</v>
      </c>
    </row>
    <row r="138" spans="1:8" ht="43.5" customHeight="1">
      <c r="A138" s="14" t="s">
        <v>143</v>
      </c>
      <c r="B138" s="14" t="s">
        <v>1057</v>
      </c>
      <c r="C138" s="14" t="s">
        <v>459</v>
      </c>
      <c r="D138" s="16">
        <v>116200</v>
      </c>
      <c r="E138" s="15">
        <v>664</v>
      </c>
      <c r="F138" s="14"/>
      <c r="G138" s="14" t="s">
        <v>290</v>
      </c>
      <c r="H138" s="14" t="s">
        <v>801</v>
      </c>
    </row>
    <row r="139" spans="1:8" ht="19.899999999999999" hidden="1" customHeight="1">
      <c r="A139" s="14" t="s">
        <v>1058</v>
      </c>
      <c r="B139" s="14" t="s">
        <v>1059</v>
      </c>
      <c r="C139" s="14"/>
      <c r="D139" s="16"/>
      <c r="E139" s="15"/>
      <c r="F139" s="14"/>
      <c r="G139" s="14" t="s">
        <v>290</v>
      </c>
      <c r="H139" s="14" t="s">
        <v>783</v>
      </c>
    </row>
    <row r="140" spans="1:8" ht="19.899999999999999" hidden="1" customHeight="1">
      <c r="A140" s="14" t="s">
        <v>1058</v>
      </c>
      <c r="B140" s="14" t="s">
        <v>1060</v>
      </c>
      <c r="C140" s="14"/>
      <c r="D140" s="16"/>
      <c r="E140" s="15"/>
      <c r="F140" s="14"/>
      <c r="G140" s="14" t="s">
        <v>290</v>
      </c>
      <c r="H140" s="14" t="s">
        <v>783</v>
      </c>
    </row>
    <row r="141" spans="1:8" ht="19.899999999999999" hidden="1" customHeight="1">
      <c r="A141" s="14" t="s">
        <v>1061</v>
      </c>
      <c r="B141" s="14" t="s">
        <v>1062</v>
      </c>
      <c r="C141" s="14"/>
      <c r="D141" s="16"/>
      <c r="E141" s="15"/>
      <c r="F141" s="14"/>
      <c r="G141" s="14" t="s">
        <v>290</v>
      </c>
      <c r="H141" s="14" t="s">
        <v>783</v>
      </c>
    </row>
    <row r="142" spans="1:8" ht="19.899999999999999" hidden="1" customHeight="1">
      <c r="A142" s="14" t="s">
        <v>1061</v>
      </c>
      <c r="B142" s="14" t="s">
        <v>1063</v>
      </c>
      <c r="C142" s="14"/>
      <c r="D142" s="16"/>
      <c r="E142" s="15"/>
      <c r="F142" s="14"/>
      <c r="G142" s="14" t="s">
        <v>290</v>
      </c>
      <c r="H142" s="14" t="s">
        <v>783</v>
      </c>
    </row>
    <row r="143" spans="1:8" ht="19.899999999999999" hidden="1" customHeight="1">
      <c r="A143" s="14" t="s">
        <v>1064</v>
      </c>
      <c r="B143" s="14" t="s">
        <v>1065</v>
      </c>
      <c r="C143" s="14"/>
      <c r="D143" s="16">
        <v>1750</v>
      </c>
      <c r="E143" s="15">
        <v>10</v>
      </c>
      <c r="F143" s="14"/>
      <c r="G143" s="14" t="s">
        <v>290</v>
      </c>
      <c r="H143" s="14" t="s">
        <v>783</v>
      </c>
    </row>
    <row r="144" spans="1:8" ht="19.899999999999999" hidden="1" customHeight="1">
      <c r="A144" s="14" t="s">
        <v>1066</v>
      </c>
      <c r="B144" s="14" t="s">
        <v>1067</v>
      </c>
      <c r="C144" s="14" t="s">
        <v>1068</v>
      </c>
      <c r="D144" s="16"/>
      <c r="E144" s="15"/>
      <c r="F144" s="14" t="s">
        <v>1069</v>
      </c>
      <c r="G144" s="14" t="s">
        <v>290</v>
      </c>
      <c r="H144" s="14" t="s">
        <v>783</v>
      </c>
    </row>
    <row r="145" spans="1:8" ht="19.899999999999999" customHeight="1">
      <c r="A145" s="14" t="s">
        <v>151</v>
      </c>
      <c r="B145" s="14" t="s">
        <v>1070</v>
      </c>
      <c r="C145" s="14"/>
      <c r="D145" s="16">
        <v>196000</v>
      </c>
      <c r="E145" s="15"/>
      <c r="F145" s="14"/>
      <c r="G145" s="14" t="s">
        <v>290</v>
      </c>
      <c r="H145" s="14" t="s">
        <v>801</v>
      </c>
    </row>
    <row r="146" spans="1:8" ht="19.899999999999999" hidden="1" customHeight="1">
      <c r="A146" s="14" t="s">
        <v>151</v>
      </c>
      <c r="B146" s="14" t="s">
        <v>1071</v>
      </c>
      <c r="C146" s="14"/>
      <c r="D146" s="16">
        <v>60000</v>
      </c>
      <c r="E146" s="15"/>
      <c r="F146" s="14"/>
      <c r="G146" s="14" t="s">
        <v>290</v>
      </c>
      <c r="H146" s="14" t="s">
        <v>783</v>
      </c>
    </row>
    <row r="147" spans="1:8" ht="19.899999999999999" hidden="1" customHeight="1">
      <c r="A147" s="14" t="s">
        <v>1072</v>
      </c>
      <c r="B147" s="14" t="s">
        <v>1073</v>
      </c>
      <c r="C147" s="14"/>
      <c r="D147" s="16"/>
      <c r="E147" s="15"/>
      <c r="F147" s="14"/>
      <c r="G147" s="14" t="s">
        <v>290</v>
      </c>
      <c r="H147" s="14" t="s">
        <v>783</v>
      </c>
    </row>
    <row r="148" spans="1:8" ht="19.899999999999999" hidden="1" customHeight="1">
      <c r="A148" s="14" t="s">
        <v>1072</v>
      </c>
      <c r="B148" s="14" t="s">
        <v>1074</v>
      </c>
      <c r="C148" s="14"/>
      <c r="D148" s="16"/>
      <c r="E148" s="15"/>
      <c r="F148" s="14"/>
      <c r="G148" s="14" t="s">
        <v>290</v>
      </c>
      <c r="H148" s="14" t="s">
        <v>783</v>
      </c>
    </row>
    <row r="149" spans="1:8" ht="19.899999999999999" hidden="1" customHeight="1">
      <c r="A149" s="14" t="s">
        <v>1075</v>
      </c>
      <c r="B149" s="14" t="s">
        <v>1076</v>
      </c>
      <c r="C149" s="14"/>
      <c r="D149" s="16"/>
      <c r="E149" s="15">
        <v>120</v>
      </c>
      <c r="F149" s="14"/>
      <c r="G149" s="14" t="s">
        <v>290</v>
      </c>
      <c r="H149" s="14" t="s">
        <v>783</v>
      </c>
    </row>
    <row r="150" spans="1:8" ht="28.9" hidden="1" customHeight="1">
      <c r="A150" s="14" t="s">
        <v>1075</v>
      </c>
      <c r="B150" s="14" t="s">
        <v>1077</v>
      </c>
      <c r="C150" s="14"/>
      <c r="D150" s="16"/>
      <c r="E150" s="15"/>
      <c r="F150" s="14" t="s">
        <v>1078</v>
      </c>
      <c r="G150" s="14" t="s">
        <v>571</v>
      </c>
      <c r="H150" s="14" t="s">
        <v>783</v>
      </c>
    </row>
    <row r="151" spans="1:8" ht="19.899999999999999" hidden="1" customHeight="1">
      <c r="A151" s="14" t="s">
        <v>1075</v>
      </c>
      <c r="B151" s="14" t="s">
        <v>1079</v>
      </c>
      <c r="C151" s="14"/>
      <c r="D151" s="16"/>
      <c r="E151" s="15">
        <v>80</v>
      </c>
      <c r="F151" s="14"/>
      <c r="G151" s="14" t="s">
        <v>290</v>
      </c>
      <c r="H151" s="14" t="s">
        <v>783</v>
      </c>
    </row>
    <row r="152" spans="1:8" ht="19.899999999999999" hidden="1" customHeight="1">
      <c r="A152" s="14" t="s">
        <v>1080</v>
      </c>
      <c r="B152" s="14" t="s">
        <v>1081</v>
      </c>
      <c r="C152" s="14" t="s">
        <v>1082</v>
      </c>
      <c r="D152" s="16">
        <v>25000</v>
      </c>
      <c r="E152" s="15"/>
      <c r="F152" s="14"/>
      <c r="G152" s="14" t="s">
        <v>290</v>
      </c>
      <c r="H152" s="14" t="s">
        <v>783</v>
      </c>
    </row>
    <row r="153" spans="1:8" ht="43.5" hidden="1" customHeight="1">
      <c r="A153" s="14" t="s">
        <v>152</v>
      </c>
      <c r="B153" s="14" t="s">
        <v>1083</v>
      </c>
      <c r="C153" s="14" t="s">
        <v>1084</v>
      </c>
      <c r="D153" s="16">
        <v>29600</v>
      </c>
      <c r="E153" s="15">
        <v>148</v>
      </c>
      <c r="F153" s="14" t="s">
        <v>1085</v>
      </c>
      <c r="G153" s="14" t="s">
        <v>290</v>
      </c>
      <c r="H153" s="14" t="s">
        <v>783</v>
      </c>
    </row>
    <row r="154" spans="1:8" ht="43.5" hidden="1" customHeight="1">
      <c r="A154" s="14" t="s">
        <v>1086</v>
      </c>
      <c r="B154" s="14" t="s">
        <v>1087</v>
      </c>
      <c r="C154" s="14" t="s">
        <v>1088</v>
      </c>
      <c r="D154" s="16">
        <v>5000</v>
      </c>
      <c r="E154" s="15">
        <v>16</v>
      </c>
      <c r="F154" s="14"/>
      <c r="G154" s="14" t="s">
        <v>290</v>
      </c>
      <c r="H154" s="14" t="s">
        <v>783</v>
      </c>
    </row>
    <row r="155" spans="1:8" ht="19.899999999999999" hidden="1" customHeight="1">
      <c r="A155" s="14" t="s">
        <v>1086</v>
      </c>
      <c r="B155" s="14" t="s">
        <v>1089</v>
      </c>
      <c r="C155" s="14" t="s">
        <v>1090</v>
      </c>
      <c r="D155" s="16">
        <v>26600</v>
      </c>
      <c r="E155" s="15"/>
      <c r="F155" s="14"/>
      <c r="G155" s="14" t="s">
        <v>290</v>
      </c>
      <c r="H155" s="14" t="s">
        <v>783</v>
      </c>
    </row>
    <row r="156" spans="1:8" ht="43.5" hidden="1" customHeight="1">
      <c r="A156" s="14" t="s">
        <v>156</v>
      </c>
      <c r="B156" s="14" t="s">
        <v>1091</v>
      </c>
      <c r="C156" s="14" t="s">
        <v>1092</v>
      </c>
      <c r="D156" s="16">
        <v>9860</v>
      </c>
      <c r="E156" s="15"/>
      <c r="F156" s="14"/>
      <c r="G156" s="14" t="s">
        <v>441</v>
      </c>
      <c r="H156" s="14" t="s">
        <v>783</v>
      </c>
    </row>
    <row r="157" spans="1:8" ht="28.9" customHeight="1">
      <c r="A157" s="14" t="s">
        <v>156</v>
      </c>
      <c r="B157" s="14" t="s">
        <v>1093</v>
      </c>
      <c r="C157" s="14" t="s">
        <v>470</v>
      </c>
      <c r="D157" s="16">
        <v>16800</v>
      </c>
      <c r="E157" s="15">
        <v>112</v>
      </c>
      <c r="F157" s="14" t="s">
        <v>1094</v>
      </c>
      <c r="G157" s="14" t="s">
        <v>290</v>
      </c>
      <c r="H157" s="14" t="s">
        <v>801</v>
      </c>
    </row>
    <row r="158" spans="1:8" ht="19.899999999999999" hidden="1" customHeight="1">
      <c r="A158" s="14" t="s">
        <v>156</v>
      </c>
      <c r="B158" s="14" t="s">
        <v>1095</v>
      </c>
      <c r="C158" s="14"/>
      <c r="D158" s="16"/>
      <c r="E158" s="15"/>
      <c r="F158" s="14"/>
      <c r="G158" s="14" t="s">
        <v>290</v>
      </c>
      <c r="H158" s="14" t="s">
        <v>783</v>
      </c>
    </row>
    <row r="159" spans="1:8" ht="19.899999999999999" customHeight="1">
      <c r="A159" s="14" t="s">
        <v>157</v>
      </c>
      <c r="B159" s="14" t="s">
        <v>1096</v>
      </c>
      <c r="C159" s="14"/>
      <c r="D159" s="16">
        <v>8040</v>
      </c>
      <c r="E159" s="15">
        <v>52</v>
      </c>
      <c r="F159" s="14"/>
      <c r="G159" s="14" t="s">
        <v>290</v>
      </c>
      <c r="H159" s="14" t="s">
        <v>801</v>
      </c>
    </row>
    <row r="160" spans="1:8" ht="28.9" customHeight="1">
      <c r="A160" s="14" t="s">
        <v>157</v>
      </c>
      <c r="B160" s="14" t="s">
        <v>1097</v>
      </c>
      <c r="C160" s="14" t="s">
        <v>473</v>
      </c>
      <c r="D160" s="16">
        <v>1400</v>
      </c>
      <c r="E160" s="15">
        <v>8</v>
      </c>
      <c r="F160" s="14"/>
      <c r="G160" s="14" t="s">
        <v>290</v>
      </c>
      <c r="H160" s="14" t="s">
        <v>801</v>
      </c>
    </row>
    <row r="161" spans="1:8" ht="19.899999999999999" hidden="1" customHeight="1">
      <c r="A161" s="14" t="s">
        <v>157</v>
      </c>
      <c r="B161" s="14" t="s">
        <v>1098</v>
      </c>
      <c r="C161" s="14"/>
      <c r="D161" s="16">
        <v>21500</v>
      </c>
      <c r="E161" s="15">
        <v>80</v>
      </c>
      <c r="F161" s="14"/>
      <c r="G161" s="14" t="s">
        <v>290</v>
      </c>
      <c r="H161" s="14" t="s">
        <v>783</v>
      </c>
    </row>
    <row r="162" spans="1:8" ht="19.899999999999999" hidden="1" customHeight="1">
      <c r="A162" s="14" t="s">
        <v>1099</v>
      </c>
      <c r="B162" s="14" t="s">
        <v>1100</v>
      </c>
      <c r="C162" s="14"/>
      <c r="D162" s="16"/>
      <c r="E162" s="15">
        <v>16</v>
      </c>
      <c r="F162" s="14" t="s">
        <v>1101</v>
      </c>
      <c r="G162" s="14" t="s">
        <v>290</v>
      </c>
      <c r="H162" s="14" t="s">
        <v>783</v>
      </c>
    </row>
    <row r="163" spans="1:8" ht="43.5" hidden="1" customHeight="1">
      <c r="A163" s="14" t="s">
        <v>1102</v>
      </c>
      <c r="B163" s="14" t="s">
        <v>1103</v>
      </c>
      <c r="C163" s="14" t="s">
        <v>1104</v>
      </c>
      <c r="D163" s="16">
        <v>2900</v>
      </c>
      <c r="E163" s="15">
        <v>15</v>
      </c>
      <c r="F163" s="14"/>
      <c r="G163" s="14" t="s">
        <v>290</v>
      </c>
      <c r="H163" s="14" t="s">
        <v>783</v>
      </c>
    </row>
    <row r="164" spans="1:8" ht="19.899999999999999" hidden="1" customHeight="1">
      <c r="A164" s="14" t="s">
        <v>1105</v>
      </c>
      <c r="B164" s="14" t="s">
        <v>1106</v>
      </c>
      <c r="C164" s="14"/>
      <c r="D164" s="16"/>
      <c r="E164" s="15"/>
      <c r="F164" s="14"/>
      <c r="G164" s="14" t="s">
        <v>290</v>
      </c>
      <c r="H164" s="14" t="s">
        <v>783</v>
      </c>
    </row>
    <row r="165" spans="1:8" ht="19.899999999999999" hidden="1" customHeight="1">
      <c r="A165" s="14" t="s">
        <v>160</v>
      </c>
      <c r="B165" s="14" t="s">
        <v>1107</v>
      </c>
      <c r="C165" s="14" t="s">
        <v>1108</v>
      </c>
      <c r="D165" s="16"/>
      <c r="E165" s="15"/>
      <c r="F165" s="14"/>
      <c r="G165" s="14" t="s">
        <v>571</v>
      </c>
      <c r="H165" s="14" t="s">
        <v>783</v>
      </c>
    </row>
    <row r="166" spans="1:8" ht="58.15" hidden="1" customHeight="1">
      <c r="A166" s="14" t="s">
        <v>160</v>
      </c>
      <c r="B166" s="14" t="s">
        <v>1109</v>
      </c>
      <c r="C166" s="14" t="s">
        <v>1110</v>
      </c>
      <c r="D166" s="16"/>
      <c r="E166" s="15"/>
      <c r="F166" s="14" t="s">
        <v>1111</v>
      </c>
      <c r="G166" s="14" t="s">
        <v>290</v>
      </c>
      <c r="H166" s="14" t="s">
        <v>783</v>
      </c>
    </row>
    <row r="167" spans="1:8" ht="28.9" hidden="1" customHeight="1">
      <c r="A167" s="14" t="s">
        <v>160</v>
      </c>
      <c r="B167" s="14" t="s">
        <v>1112</v>
      </c>
      <c r="C167" s="14" t="s">
        <v>1113</v>
      </c>
      <c r="D167" s="16"/>
      <c r="E167" s="15"/>
      <c r="F167" s="14"/>
      <c r="G167" s="14" t="s">
        <v>416</v>
      </c>
      <c r="H167" s="14" t="s">
        <v>783</v>
      </c>
    </row>
    <row r="168" spans="1:8" ht="43.5" customHeight="1">
      <c r="A168" s="14" t="s">
        <v>160</v>
      </c>
      <c r="B168" s="14" t="s">
        <v>1114</v>
      </c>
      <c r="C168" s="14" t="s">
        <v>163</v>
      </c>
      <c r="D168" s="16">
        <v>0</v>
      </c>
      <c r="E168" s="15">
        <v>160</v>
      </c>
      <c r="F168" s="14" t="s">
        <v>1115</v>
      </c>
      <c r="G168" s="14" t="s">
        <v>290</v>
      </c>
      <c r="H168" s="14" t="s">
        <v>801</v>
      </c>
    </row>
    <row r="169" spans="1:8" ht="58.15" hidden="1" customHeight="1">
      <c r="A169" s="14" t="s">
        <v>1116</v>
      </c>
      <c r="B169" s="14" t="s">
        <v>1117</v>
      </c>
      <c r="C169" s="14" t="s">
        <v>1118</v>
      </c>
      <c r="D169" s="16">
        <v>39200</v>
      </c>
      <c r="E169" s="15"/>
      <c r="F169" s="14"/>
      <c r="G169" s="14" t="s">
        <v>290</v>
      </c>
      <c r="H169" s="14" t="s">
        <v>783</v>
      </c>
    </row>
    <row r="170" spans="1:8" ht="43.5" hidden="1" customHeight="1">
      <c r="A170" s="14" t="s">
        <v>1116</v>
      </c>
      <c r="B170" s="14" t="s">
        <v>1119</v>
      </c>
      <c r="C170" s="14" t="s">
        <v>1120</v>
      </c>
      <c r="D170" s="16">
        <v>77145</v>
      </c>
      <c r="E170" s="15">
        <v>417</v>
      </c>
      <c r="F170" s="14"/>
      <c r="G170" s="14" t="s">
        <v>290</v>
      </c>
      <c r="H170" s="14" t="s">
        <v>783</v>
      </c>
    </row>
    <row r="171" spans="1:8" ht="19.899999999999999" customHeight="1">
      <c r="A171" s="14" t="s">
        <v>166</v>
      </c>
      <c r="B171" s="14" t="s">
        <v>1121</v>
      </c>
      <c r="C171" s="14" t="s">
        <v>486</v>
      </c>
      <c r="D171" s="16">
        <v>4000</v>
      </c>
      <c r="E171" s="15"/>
      <c r="F171" s="14"/>
      <c r="G171" s="14" t="s">
        <v>383</v>
      </c>
      <c r="H171" s="14" t="s">
        <v>801</v>
      </c>
    </row>
    <row r="172" spans="1:8" ht="28.9" customHeight="1">
      <c r="A172" s="14" t="s">
        <v>166</v>
      </c>
      <c r="B172" s="14" t="s">
        <v>1122</v>
      </c>
      <c r="C172" s="14" t="s">
        <v>1123</v>
      </c>
      <c r="D172" s="16">
        <v>161700</v>
      </c>
      <c r="E172" s="15">
        <v>1078</v>
      </c>
      <c r="F172" s="14" t="s">
        <v>1124</v>
      </c>
      <c r="G172" s="14" t="s">
        <v>290</v>
      </c>
      <c r="H172" s="14" t="s">
        <v>801</v>
      </c>
    </row>
    <row r="173" spans="1:8" ht="115.9" customHeight="1">
      <c r="A173" s="14" t="s">
        <v>171</v>
      </c>
      <c r="B173" s="14" t="s">
        <v>1125</v>
      </c>
      <c r="C173" s="14" t="s">
        <v>491</v>
      </c>
      <c r="D173" s="16">
        <v>75000</v>
      </c>
      <c r="E173" s="15">
        <v>424</v>
      </c>
      <c r="F173" s="14" t="s">
        <v>1126</v>
      </c>
      <c r="G173" s="14" t="s">
        <v>383</v>
      </c>
      <c r="H173" s="14" t="s">
        <v>801</v>
      </c>
    </row>
    <row r="174" spans="1:8" ht="28.9" customHeight="1">
      <c r="A174" s="14" t="s">
        <v>172</v>
      </c>
      <c r="B174" s="14" t="s">
        <v>1127</v>
      </c>
      <c r="C174" s="14" t="s">
        <v>493</v>
      </c>
      <c r="D174" s="16"/>
      <c r="E174" s="15"/>
      <c r="F174" s="14" t="s">
        <v>1128</v>
      </c>
      <c r="G174" s="14" t="s">
        <v>383</v>
      </c>
      <c r="H174" s="14" t="s">
        <v>801</v>
      </c>
    </row>
    <row r="175" spans="1:8" ht="58.15" customHeight="1">
      <c r="A175" s="14" t="s">
        <v>172</v>
      </c>
      <c r="B175" s="14" t="s">
        <v>1129</v>
      </c>
      <c r="C175" s="14" t="s">
        <v>495</v>
      </c>
      <c r="D175" s="16"/>
      <c r="E175" s="15"/>
      <c r="F175" s="14"/>
      <c r="G175" s="14" t="s">
        <v>441</v>
      </c>
      <c r="H175" s="14" t="s">
        <v>801</v>
      </c>
    </row>
    <row r="176" spans="1:8" ht="19.899999999999999" hidden="1" customHeight="1">
      <c r="A176" s="14" t="s">
        <v>1130</v>
      </c>
      <c r="B176" s="14" t="s">
        <v>1131</v>
      </c>
      <c r="C176" s="14" t="s">
        <v>1132</v>
      </c>
      <c r="D176" s="16"/>
      <c r="E176" s="15"/>
      <c r="F176" s="14"/>
      <c r="G176" s="14" t="s">
        <v>290</v>
      </c>
      <c r="H176" s="14" t="s">
        <v>783</v>
      </c>
    </row>
    <row r="177" spans="1:8" ht="58.15" hidden="1" customHeight="1">
      <c r="A177" s="14" t="s">
        <v>684</v>
      </c>
      <c r="B177" s="14" t="s">
        <v>1133</v>
      </c>
      <c r="C177" s="14" t="s">
        <v>1134</v>
      </c>
      <c r="D177" s="16">
        <v>15000</v>
      </c>
      <c r="E177" s="15">
        <v>89</v>
      </c>
      <c r="F177" s="14"/>
      <c r="G177" s="14" t="s">
        <v>290</v>
      </c>
      <c r="H177" s="14" t="s">
        <v>783</v>
      </c>
    </row>
    <row r="178" spans="1:8" ht="58.15" hidden="1" customHeight="1">
      <c r="A178" s="14" t="s">
        <v>684</v>
      </c>
      <c r="B178" s="14" t="s">
        <v>1135</v>
      </c>
      <c r="C178" s="14" t="s">
        <v>1136</v>
      </c>
      <c r="D178" s="16">
        <v>10500</v>
      </c>
      <c r="E178" s="15">
        <v>60</v>
      </c>
      <c r="F178" s="14"/>
      <c r="G178" s="14" t="s">
        <v>290</v>
      </c>
      <c r="H178" s="14" t="s">
        <v>706</v>
      </c>
    </row>
    <row r="179" spans="1:8" ht="19.899999999999999" hidden="1" customHeight="1">
      <c r="A179" s="14" t="s">
        <v>684</v>
      </c>
      <c r="B179" s="14" t="s">
        <v>1137</v>
      </c>
      <c r="C179" s="14"/>
      <c r="D179" s="16">
        <v>15000</v>
      </c>
      <c r="E179" s="15"/>
      <c r="F179" s="14"/>
      <c r="G179" s="14" t="s">
        <v>441</v>
      </c>
      <c r="H179" s="14" t="s">
        <v>783</v>
      </c>
    </row>
    <row r="180" spans="1:8" ht="43.5" hidden="1" customHeight="1">
      <c r="A180" s="14" t="s">
        <v>1138</v>
      </c>
      <c r="B180" s="14" t="s">
        <v>1139</v>
      </c>
      <c r="C180" s="14" t="s">
        <v>1140</v>
      </c>
      <c r="D180" s="16">
        <v>36900</v>
      </c>
      <c r="E180" s="15"/>
      <c r="F180" s="14"/>
      <c r="G180" s="14" t="s">
        <v>290</v>
      </c>
      <c r="H180" s="14" t="s">
        <v>783</v>
      </c>
    </row>
    <row r="181" spans="1:8" ht="19.899999999999999" hidden="1" customHeight="1">
      <c r="A181" s="14" t="s">
        <v>1141</v>
      </c>
      <c r="B181" s="14" t="s">
        <v>1142</v>
      </c>
      <c r="C181" s="14"/>
      <c r="D181" s="16">
        <v>9520</v>
      </c>
      <c r="E181" s="15">
        <v>56</v>
      </c>
      <c r="F181" s="14"/>
      <c r="G181" s="14" t="s">
        <v>290</v>
      </c>
      <c r="H181" s="14" t="s">
        <v>783</v>
      </c>
    </row>
    <row r="182" spans="1:8" ht="19.899999999999999" hidden="1" customHeight="1">
      <c r="A182" s="14" t="s">
        <v>1143</v>
      </c>
      <c r="B182" s="14" t="s">
        <v>1144</v>
      </c>
      <c r="C182" s="14"/>
      <c r="D182" s="16"/>
      <c r="E182" s="15"/>
      <c r="F182" s="14"/>
      <c r="G182" s="14" t="s">
        <v>441</v>
      </c>
      <c r="H182" s="14" t="s">
        <v>783</v>
      </c>
    </row>
    <row r="183" spans="1:8" ht="19.899999999999999" hidden="1" customHeight="1">
      <c r="A183" s="14" t="s">
        <v>1143</v>
      </c>
      <c r="B183" s="14" t="s">
        <v>1145</v>
      </c>
      <c r="C183" s="14"/>
      <c r="D183" s="16"/>
      <c r="E183" s="15"/>
      <c r="F183" s="14"/>
      <c r="G183" s="14" t="s">
        <v>441</v>
      </c>
      <c r="H183" s="14" t="s">
        <v>783</v>
      </c>
    </row>
    <row r="184" spans="1:8" ht="19.899999999999999" hidden="1" customHeight="1">
      <c r="A184" s="14" t="s">
        <v>1146</v>
      </c>
      <c r="B184" s="14" t="s">
        <v>1147</v>
      </c>
      <c r="C184" s="14" t="s">
        <v>1148</v>
      </c>
      <c r="D184" s="16"/>
      <c r="E184" s="15"/>
      <c r="F184" s="14"/>
      <c r="G184" s="14" t="s">
        <v>571</v>
      </c>
      <c r="H184" s="14" t="s">
        <v>783</v>
      </c>
    </row>
    <row r="185" spans="1:8" ht="43.5" hidden="1" customHeight="1">
      <c r="A185" s="14" t="s">
        <v>1149</v>
      </c>
      <c r="B185" s="14" t="s">
        <v>1150</v>
      </c>
      <c r="C185" s="14" t="s">
        <v>1151</v>
      </c>
      <c r="D185" s="16">
        <v>6000</v>
      </c>
      <c r="E185" s="15">
        <v>40</v>
      </c>
      <c r="F185" s="14"/>
      <c r="G185" s="14" t="s">
        <v>290</v>
      </c>
      <c r="H185" s="14" t="s">
        <v>783</v>
      </c>
    </row>
    <row r="186" spans="1:8" ht="19.899999999999999" hidden="1" customHeight="1">
      <c r="A186" s="14" t="s">
        <v>183</v>
      </c>
      <c r="B186" s="14" t="s">
        <v>1152</v>
      </c>
      <c r="C186" s="14"/>
      <c r="D186" s="16"/>
      <c r="E186" s="15">
        <v>268.8</v>
      </c>
      <c r="F186" s="14"/>
      <c r="G186" s="14" t="s">
        <v>290</v>
      </c>
      <c r="H186" s="14" t="s">
        <v>783</v>
      </c>
    </row>
    <row r="187" spans="1:8" ht="19.899999999999999" hidden="1" customHeight="1">
      <c r="A187" s="14" t="s">
        <v>183</v>
      </c>
      <c r="B187" s="14" t="s">
        <v>1153</v>
      </c>
      <c r="C187" s="14"/>
      <c r="D187" s="16"/>
      <c r="E187" s="15">
        <v>47</v>
      </c>
      <c r="F187" s="14"/>
      <c r="G187" s="14" t="s">
        <v>290</v>
      </c>
      <c r="H187" s="14" t="s">
        <v>783</v>
      </c>
    </row>
    <row r="188" spans="1:8" ht="19.899999999999999" hidden="1" customHeight="1">
      <c r="A188" s="14" t="s">
        <v>183</v>
      </c>
      <c r="B188" s="14" t="s">
        <v>1154</v>
      </c>
      <c r="C188" s="14"/>
      <c r="D188" s="16">
        <v>30000</v>
      </c>
      <c r="E188" s="15">
        <v>170</v>
      </c>
      <c r="F188" s="14"/>
      <c r="G188" s="14" t="s">
        <v>290</v>
      </c>
      <c r="H188" s="14" t="s">
        <v>783</v>
      </c>
    </row>
    <row r="189" spans="1:8" ht="19.899999999999999" hidden="1" customHeight="1">
      <c r="A189" s="14" t="s">
        <v>183</v>
      </c>
      <c r="B189" s="14" t="s">
        <v>1155</v>
      </c>
      <c r="C189" s="14"/>
      <c r="D189" s="16"/>
      <c r="E189" s="15">
        <v>705.3</v>
      </c>
      <c r="F189" s="14"/>
      <c r="G189" s="14" t="s">
        <v>290</v>
      </c>
      <c r="H189" s="14" t="s">
        <v>783</v>
      </c>
    </row>
    <row r="190" spans="1:8" ht="19.899999999999999" hidden="1" customHeight="1">
      <c r="A190" s="14" t="s">
        <v>183</v>
      </c>
      <c r="B190" s="14" t="s">
        <v>1156</v>
      </c>
      <c r="C190" s="14"/>
      <c r="D190" s="16"/>
      <c r="E190" s="15">
        <v>264</v>
      </c>
      <c r="F190" s="14"/>
      <c r="G190" s="14" t="s">
        <v>290</v>
      </c>
      <c r="H190" s="14" t="s">
        <v>783</v>
      </c>
    </row>
    <row r="191" spans="1:8" ht="58.15" hidden="1" customHeight="1">
      <c r="A191" s="14" t="s">
        <v>1157</v>
      </c>
      <c r="B191" s="14" t="s">
        <v>1158</v>
      </c>
      <c r="C191" s="14" t="s">
        <v>1159</v>
      </c>
      <c r="D191" s="16"/>
      <c r="E191" s="15">
        <v>40</v>
      </c>
      <c r="F191" s="14"/>
      <c r="G191" s="14" t="s">
        <v>290</v>
      </c>
      <c r="H191" s="14" t="s">
        <v>783</v>
      </c>
    </row>
    <row r="192" spans="1:8" ht="43.5" hidden="1" customHeight="1">
      <c r="A192" s="14" t="s">
        <v>1160</v>
      </c>
      <c r="B192" s="14" t="s">
        <v>1161</v>
      </c>
      <c r="C192" s="14" t="s">
        <v>1162</v>
      </c>
      <c r="D192" s="16">
        <v>127050</v>
      </c>
      <c r="E192" s="15">
        <v>770</v>
      </c>
      <c r="F192" s="14"/>
      <c r="G192" s="14" t="s">
        <v>290</v>
      </c>
      <c r="H192" s="14" t="s">
        <v>783</v>
      </c>
    </row>
    <row r="193" spans="1:8" ht="43.5" hidden="1" customHeight="1">
      <c r="A193" s="14" t="s">
        <v>1160</v>
      </c>
      <c r="B193" s="14" t="s">
        <v>1163</v>
      </c>
      <c r="C193" s="14" t="s">
        <v>1164</v>
      </c>
      <c r="D193" s="16"/>
      <c r="E193" s="15"/>
      <c r="F193" s="14"/>
      <c r="G193" s="14" t="s">
        <v>290</v>
      </c>
      <c r="H193" s="14" t="s">
        <v>783</v>
      </c>
    </row>
    <row r="194" spans="1:8" ht="19.899999999999999" hidden="1" customHeight="1">
      <c r="A194" s="14" t="s">
        <v>1165</v>
      </c>
      <c r="B194" s="14" t="s">
        <v>1166</v>
      </c>
      <c r="C194" s="14" t="s">
        <v>1167</v>
      </c>
      <c r="D194" s="16">
        <v>0</v>
      </c>
      <c r="E194" s="15">
        <v>0</v>
      </c>
      <c r="F194" s="14"/>
      <c r="G194" s="14" t="s">
        <v>290</v>
      </c>
      <c r="H194" s="14" t="s">
        <v>783</v>
      </c>
    </row>
    <row r="195" spans="1:8" ht="19.899999999999999" hidden="1" customHeight="1">
      <c r="A195" s="14" t="s">
        <v>190</v>
      </c>
      <c r="B195" s="14" t="s">
        <v>1168</v>
      </c>
      <c r="C195" s="14"/>
      <c r="D195" s="16">
        <v>16000</v>
      </c>
      <c r="E195" s="15">
        <v>54</v>
      </c>
      <c r="F195" s="14"/>
      <c r="G195" s="14" t="s">
        <v>290</v>
      </c>
      <c r="H195" s="14" t="s">
        <v>783</v>
      </c>
    </row>
    <row r="196" spans="1:8" ht="19.899999999999999" hidden="1" customHeight="1">
      <c r="A196" s="14" t="s">
        <v>190</v>
      </c>
      <c r="B196" s="14" t="s">
        <v>1169</v>
      </c>
      <c r="C196" s="14"/>
      <c r="D196" s="16"/>
      <c r="E196" s="15"/>
      <c r="F196" s="14"/>
      <c r="G196" s="14" t="s">
        <v>290</v>
      </c>
      <c r="H196" s="14" t="s">
        <v>783</v>
      </c>
    </row>
    <row r="197" spans="1:8" ht="87" hidden="1" customHeight="1">
      <c r="A197" s="14" t="s">
        <v>190</v>
      </c>
      <c r="B197" s="14" t="s">
        <v>1170</v>
      </c>
      <c r="C197" s="14" t="s">
        <v>1171</v>
      </c>
      <c r="D197" s="16">
        <v>5400</v>
      </c>
      <c r="E197" s="15">
        <v>36</v>
      </c>
      <c r="F197" s="14" t="s">
        <v>1172</v>
      </c>
      <c r="G197" s="14" t="s">
        <v>441</v>
      </c>
      <c r="H197" s="14" t="s">
        <v>783</v>
      </c>
    </row>
    <row r="198" spans="1:8" ht="19.899999999999999" hidden="1" customHeight="1">
      <c r="A198" s="14" t="s">
        <v>190</v>
      </c>
      <c r="B198" s="14" t="s">
        <v>1173</v>
      </c>
      <c r="C198" s="14"/>
      <c r="D198" s="16"/>
      <c r="E198" s="15"/>
      <c r="F198" s="14"/>
      <c r="G198" s="14" t="s">
        <v>441</v>
      </c>
      <c r="H198" s="14" t="s">
        <v>783</v>
      </c>
    </row>
    <row r="199" spans="1:8" ht="19.899999999999999" hidden="1" customHeight="1">
      <c r="A199" s="14" t="s">
        <v>190</v>
      </c>
      <c r="B199" s="14" t="s">
        <v>1174</v>
      </c>
      <c r="C199" s="14"/>
      <c r="D199" s="16"/>
      <c r="E199" s="15"/>
      <c r="F199" s="14"/>
      <c r="G199" s="14" t="s">
        <v>290</v>
      </c>
      <c r="H199" s="14" t="s">
        <v>783</v>
      </c>
    </row>
    <row r="200" spans="1:8" ht="72.400000000000006" hidden="1" customHeight="1">
      <c r="A200" s="14" t="s">
        <v>190</v>
      </c>
      <c r="B200" s="14" t="s">
        <v>1175</v>
      </c>
      <c r="C200" s="14" t="s">
        <v>1176</v>
      </c>
      <c r="D200" s="16"/>
      <c r="E200" s="15"/>
      <c r="F200" s="14" t="s">
        <v>1177</v>
      </c>
      <c r="G200" s="14" t="s">
        <v>441</v>
      </c>
      <c r="H200" s="14" t="s">
        <v>783</v>
      </c>
    </row>
    <row r="201" spans="1:8" ht="28.9" hidden="1" customHeight="1">
      <c r="A201" s="14" t="s">
        <v>190</v>
      </c>
      <c r="B201" s="14" t="s">
        <v>1178</v>
      </c>
      <c r="C201" s="14" t="s">
        <v>1179</v>
      </c>
      <c r="D201" s="16"/>
      <c r="E201" s="15"/>
      <c r="F201" s="14"/>
      <c r="G201" s="14" t="s">
        <v>290</v>
      </c>
      <c r="H201" s="14" t="s">
        <v>783</v>
      </c>
    </row>
    <row r="202" spans="1:8" ht="19.899999999999999" hidden="1" customHeight="1">
      <c r="A202" s="14" t="s">
        <v>190</v>
      </c>
      <c r="B202" s="14" t="s">
        <v>1180</v>
      </c>
      <c r="C202" s="14"/>
      <c r="D202" s="16"/>
      <c r="E202" s="15"/>
      <c r="F202" s="14"/>
      <c r="G202" s="14" t="s">
        <v>290</v>
      </c>
      <c r="H202" s="14" t="s">
        <v>783</v>
      </c>
    </row>
    <row r="203" spans="1:8" ht="19.899999999999999" hidden="1" customHeight="1">
      <c r="A203" s="14" t="s">
        <v>190</v>
      </c>
      <c r="B203" s="14" t="s">
        <v>1181</v>
      </c>
      <c r="C203" s="14" t="s">
        <v>1182</v>
      </c>
      <c r="D203" s="16">
        <v>12000</v>
      </c>
      <c r="E203" s="15">
        <v>80</v>
      </c>
      <c r="F203" s="14"/>
      <c r="G203" s="14" t="s">
        <v>441</v>
      </c>
      <c r="H203" s="14" t="s">
        <v>783</v>
      </c>
    </row>
    <row r="204" spans="1:8" ht="19.899999999999999" hidden="1" customHeight="1">
      <c r="A204" s="14" t="s">
        <v>190</v>
      </c>
      <c r="B204" s="14" t="s">
        <v>1183</v>
      </c>
      <c r="C204" s="14"/>
      <c r="D204" s="16">
        <v>29000</v>
      </c>
      <c r="E204" s="15"/>
      <c r="F204" s="14"/>
      <c r="G204" s="14" t="s">
        <v>441</v>
      </c>
      <c r="H204" s="14" t="s">
        <v>783</v>
      </c>
    </row>
    <row r="205" spans="1:8" ht="28.9" hidden="1" customHeight="1">
      <c r="A205" s="14" t="s">
        <v>190</v>
      </c>
      <c r="B205" s="14" t="s">
        <v>1184</v>
      </c>
      <c r="C205" s="14" t="s">
        <v>1185</v>
      </c>
      <c r="D205" s="16"/>
      <c r="E205" s="15">
        <v>258</v>
      </c>
      <c r="F205" s="14"/>
      <c r="G205" s="14" t="s">
        <v>290</v>
      </c>
      <c r="H205" s="14" t="s">
        <v>783</v>
      </c>
    </row>
    <row r="206" spans="1:8" ht="28.9" hidden="1" customHeight="1">
      <c r="A206" s="14" t="s">
        <v>190</v>
      </c>
      <c r="B206" s="14" t="s">
        <v>1186</v>
      </c>
      <c r="C206" s="14" t="s">
        <v>1187</v>
      </c>
      <c r="D206" s="16"/>
      <c r="E206" s="15">
        <v>16</v>
      </c>
      <c r="F206" s="14"/>
      <c r="G206" s="14" t="s">
        <v>571</v>
      </c>
      <c r="H206" s="14" t="s">
        <v>783</v>
      </c>
    </row>
    <row r="207" spans="1:8" ht="19.899999999999999" hidden="1" customHeight="1">
      <c r="A207" s="14" t="s">
        <v>190</v>
      </c>
      <c r="B207" s="14" t="s">
        <v>1188</v>
      </c>
      <c r="C207" s="14"/>
      <c r="D207" s="16">
        <v>15000</v>
      </c>
      <c r="E207" s="15"/>
      <c r="F207" s="14"/>
      <c r="G207" s="14" t="s">
        <v>290</v>
      </c>
      <c r="H207" s="14" t="s">
        <v>783</v>
      </c>
    </row>
    <row r="208" spans="1:8" ht="19.899999999999999" hidden="1" customHeight="1">
      <c r="A208" s="14" t="s">
        <v>190</v>
      </c>
      <c r="B208" s="14" t="s">
        <v>1189</v>
      </c>
      <c r="C208" s="14"/>
      <c r="D208" s="16">
        <v>4800</v>
      </c>
      <c r="E208" s="15"/>
      <c r="F208" s="14"/>
      <c r="G208" s="14" t="s">
        <v>290</v>
      </c>
      <c r="H208" s="14" t="s">
        <v>783</v>
      </c>
    </row>
    <row r="209" spans="1:8" ht="19.899999999999999" hidden="1" customHeight="1">
      <c r="A209" s="14" t="s">
        <v>190</v>
      </c>
      <c r="B209" s="14" t="s">
        <v>1190</v>
      </c>
      <c r="C209" s="14" t="s">
        <v>1191</v>
      </c>
      <c r="D209" s="16"/>
      <c r="E209" s="15">
        <v>22</v>
      </c>
      <c r="F209" s="14"/>
      <c r="G209" s="14" t="s">
        <v>290</v>
      </c>
      <c r="H209" s="14" t="s">
        <v>783</v>
      </c>
    </row>
    <row r="210" spans="1:8" ht="19.899999999999999" hidden="1" customHeight="1">
      <c r="A210" s="14" t="s">
        <v>190</v>
      </c>
      <c r="B210" s="14" t="s">
        <v>1192</v>
      </c>
      <c r="C210" s="14"/>
      <c r="D210" s="16">
        <v>15000</v>
      </c>
      <c r="E210" s="15"/>
      <c r="F210" s="14"/>
      <c r="G210" s="14" t="s">
        <v>290</v>
      </c>
      <c r="H210" s="14" t="s">
        <v>783</v>
      </c>
    </row>
    <row r="211" spans="1:8" ht="43.5" hidden="1" customHeight="1">
      <c r="A211" s="14" t="s">
        <v>190</v>
      </c>
      <c r="B211" s="14" t="s">
        <v>1193</v>
      </c>
      <c r="C211" s="14" t="s">
        <v>1194</v>
      </c>
      <c r="D211" s="16">
        <v>68000</v>
      </c>
      <c r="E211" s="15"/>
      <c r="F211" s="14"/>
      <c r="G211" s="14" t="s">
        <v>290</v>
      </c>
      <c r="H211" s="14" t="s">
        <v>783</v>
      </c>
    </row>
    <row r="212" spans="1:8" ht="43.5" hidden="1" customHeight="1">
      <c r="A212" s="14" t="s">
        <v>190</v>
      </c>
      <c r="B212" s="14" t="s">
        <v>1195</v>
      </c>
      <c r="C212" s="14" t="s">
        <v>1196</v>
      </c>
      <c r="D212" s="16">
        <v>1000</v>
      </c>
      <c r="E212" s="15">
        <v>100</v>
      </c>
      <c r="F212" s="14"/>
      <c r="G212" s="14" t="s">
        <v>290</v>
      </c>
      <c r="H212" s="14" t="s">
        <v>783</v>
      </c>
    </row>
    <row r="213" spans="1:8" ht="19.899999999999999" hidden="1" customHeight="1">
      <c r="A213" s="14" t="s">
        <v>190</v>
      </c>
      <c r="B213" s="14" t="s">
        <v>1197</v>
      </c>
      <c r="C213" s="14"/>
      <c r="D213" s="16"/>
      <c r="E213" s="15"/>
      <c r="F213" s="14"/>
      <c r="G213" s="14" t="s">
        <v>290</v>
      </c>
      <c r="H213" s="14" t="s">
        <v>783</v>
      </c>
    </row>
    <row r="214" spans="1:8" ht="28.9" hidden="1" customHeight="1">
      <c r="A214" s="14" t="s">
        <v>190</v>
      </c>
      <c r="B214" s="14" t="s">
        <v>1198</v>
      </c>
      <c r="C214" s="14"/>
      <c r="D214" s="16">
        <v>33767.040000000001</v>
      </c>
      <c r="E214" s="15">
        <v>96</v>
      </c>
      <c r="F214" s="14"/>
      <c r="G214" s="14" t="s">
        <v>290</v>
      </c>
      <c r="H214" s="14" t="s">
        <v>783</v>
      </c>
    </row>
    <row r="215" spans="1:8" ht="19.899999999999999" hidden="1" customHeight="1">
      <c r="A215" s="14" t="s">
        <v>190</v>
      </c>
      <c r="B215" s="14" t="s">
        <v>1199</v>
      </c>
      <c r="C215" s="14"/>
      <c r="D215" s="16"/>
      <c r="E215" s="15">
        <v>150</v>
      </c>
      <c r="F215" s="14"/>
      <c r="G215" s="14" t="s">
        <v>290</v>
      </c>
      <c r="H215" s="14" t="s">
        <v>783</v>
      </c>
    </row>
    <row r="216" spans="1:8" ht="19.899999999999999" hidden="1" customHeight="1">
      <c r="A216" s="14" t="s">
        <v>190</v>
      </c>
      <c r="B216" s="14" t="s">
        <v>1200</v>
      </c>
      <c r="C216" s="14"/>
      <c r="D216" s="16">
        <v>26000</v>
      </c>
      <c r="E216" s="15"/>
      <c r="F216" s="14"/>
      <c r="G216" s="14" t="s">
        <v>290</v>
      </c>
      <c r="H216" s="14" t="s">
        <v>783</v>
      </c>
    </row>
    <row r="217" spans="1:8" ht="19.899999999999999" hidden="1" customHeight="1">
      <c r="A217" s="14" t="s">
        <v>190</v>
      </c>
      <c r="B217" s="14" t="s">
        <v>1201</v>
      </c>
      <c r="C217" s="14"/>
      <c r="D217" s="16">
        <v>30600</v>
      </c>
      <c r="E217" s="15">
        <v>120</v>
      </c>
      <c r="F217" s="14"/>
      <c r="G217" s="14" t="s">
        <v>290</v>
      </c>
      <c r="H217" s="14" t="s">
        <v>783</v>
      </c>
    </row>
    <row r="218" spans="1:8" ht="43.5" customHeight="1">
      <c r="A218" s="14" t="s">
        <v>190</v>
      </c>
      <c r="B218" s="14" t="s">
        <v>1202</v>
      </c>
      <c r="C218" s="14" t="s">
        <v>194</v>
      </c>
      <c r="D218" s="16">
        <v>49000</v>
      </c>
      <c r="E218" s="15"/>
      <c r="F218" s="14"/>
      <c r="G218" s="14" t="s">
        <v>290</v>
      </c>
      <c r="H218" s="14" t="s">
        <v>801</v>
      </c>
    </row>
    <row r="219" spans="1:8" ht="19.899999999999999" customHeight="1">
      <c r="A219" s="14" t="s">
        <v>190</v>
      </c>
      <c r="B219" s="14" t="s">
        <v>1203</v>
      </c>
      <c r="C219" s="14"/>
      <c r="D219" s="16">
        <v>72000</v>
      </c>
      <c r="E219" s="15">
        <v>288</v>
      </c>
      <c r="F219" s="14"/>
      <c r="G219" s="14" t="s">
        <v>290</v>
      </c>
      <c r="H219" s="14" t="s">
        <v>801</v>
      </c>
    </row>
    <row r="220" spans="1:8" ht="19.899999999999999" hidden="1" customHeight="1">
      <c r="A220" s="14" t="s">
        <v>688</v>
      </c>
      <c r="B220" s="14" t="s">
        <v>1204</v>
      </c>
      <c r="C220" s="14" t="s">
        <v>1205</v>
      </c>
      <c r="D220" s="16">
        <v>14400</v>
      </c>
      <c r="E220" s="15"/>
      <c r="F220" s="14"/>
      <c r="G220" s="14" t="s">
        <v>290</v>
      </c>
      <c r="H220" s="14" t="s">
        <v>783</v>
      </c>
    </row>
    <row r="221" spans="1:8" ht="19.899999999999999" hidden="1" customHeight="1">
      <c r="A221" s="14" t="s">
        <v>688</v>
      </c>
      <c r="B221" s="14" t="s">
        <v>1206</v>
      </c>
      <c r="C221" s="14"/>
      <c r="D221" s="16">
        <v>2880</v>
      </c>
      <c r="E221" s="15">
        <v>24</v>
      </c>
      <c r="F221" s="14"/>
      <c r="G221" s="14" t="s">
        <v>290</v>
      </c>
      <c r="H221" s="14" t="s">
        <v>783</v>
      </c>
    </row>
    <row r="222" spans="1:8" ht="28.9" hidden="1" customHeight="1">
      <c r="A222" s="14" t="s">
        <v>688</v>
      </c>
      <c r="B222" s="14" t="s">
        <v>1207</v>
      </c>
      <c r="C222" s="14" t="s">
        <v>1208</v>
      </c>
      <c r="D222" s="16">
        <v>10800</v>
      </c>
      <c r="E222" s="15">
        <v>90</v>
      </c>
      <c r="F222" s="14"/>
      <c r="G222" s="14" t="s">
        <v>290</v>
      </c>
      <c r="H222" s="14" t="s">
        <v>783</v>
      </c>
    </row>
    <row r="223" spans="1:8" ht="19.899999999999999" hidden="1" customHeight="1">
      <c r="A223" s="14" t="s">
        <v>688</v>
      </c>
      <c r="B223" s="14" t="s">
        <v>1209</v>
      </c>
      <c r="C223" s="14"/>
      <c r="D223" s="16">
        <v>32535</v>
      </c>
      <c r="E223" s="15">
        <v>241</v>
      </c>
      <c r="F223" s="14"/>
      <c r="G223" s="14" t="s">
        <v>441</v>
      </c>
      <c r="H223" s="14" t="s">
        <v>783</v>
      </c>
    </row>
    <row r="224" spans="1:8" ht="19.899999999999999" customHeight="1">
      <c r="A224" s="14" t="s">
        <v>688</v>
      </c>
      <c r="B224" s="14" t="s">
        <v>1210</v>
      </c>
      <c r="C224" s="14"/>
      <c r="D224" s="16">
        <v>8400</v>
      </c>
      <c r="E224" s="15">
        <v>70</v>
      </c>
      <c r="F224" s="14"/>
      <c r="G224" s="14" t="s">
        <v>290</v>
      </c>
      <c r="H224" s="14" t="s">
        <v>801</v>
      </c>
    </row>
    <row r="225" spans="1:8" ht="19.899999999999999" hidden="1" customHeight="1">
      <c r="A225" s="14" t="s">
        <v>688</v>
      </c>
      <c r="B225" s="14" t="s">
        <v>1211</v>
      </c>
      <c r="C225" s="14"/>
      <c r="D225" s="16">
        <v>3240</v>
      </c>
      <c r="E225" s="15">
        <v>24</v>
      </c>
      <c r="F225" s="14"/>
      <c r="G225" s="14" t="s">
        <v>383</v>
      </c>
      <c r="H225" s="14" t="s">
        <v>783</v>
      </c>
    </row>
    <row r="226" spans="1:8" ht="58.15" hidden="1" customHeight="1">
      <c r="A226" s="14" t="s">
        <v>688</v>
      </c>
      <c r="B226" s="14" t="s">
        <v>1212</v>
      </c>
      <c r="C226" s="14" t="s">
        <v>1213</v>
      </c>
      <c r="D226" s="16">
        <v>27600</v>
      </c>
      <c r="E226" s="15"/>
      <c r="F226" s="14"/>
      <c r="G226" s="14" t="s">
        <v>290</v>
      </c>
      <c r="H226" s="14" t="s">
        <v>783</v>
      </c>
    </row>
    <row r="227" spans="1:8" ht="19.899999999999999" hidden="1" customHeight="1">
      <c r="A227" s="14" t="s">
        <v>655</v>
      </c>
      <c r="B227" s="14" t="s">
        <v>1214</v>
      </c>
      <c r="C227" s="14"/>
      <c r="D227" s="16"/>
      <c r="E227" s="15"/>
      <c r="F227" s="14"/>
      <c r="G227" s="14" t="s">
        <v>290</v>
      </c>
      <c r="H227" s="14" t="s">
        <v>783</v>
      </c>
    </row>
    <row r="228" spans="1:8" ht="19.899999999999999" hidden="1" customHeight="1">
      <c r="A228" s="14" t="s">
        <v>655</v>
      </c>
      <c r="B228" s="14" t="s">
        <v>1215</v>
      </c>
      <c r="C228" s="14"/>
      <c r="D228" s="16"/>
      <c r="E228" s="15"/>
      <c r="F228" s="14"/>
      <c r="G228" s="14" t="s">
        <v>383</v>
      </c>
      <c r="H228" s="14" t="s">
        <v>783</v>
      </c>
    </row>
    <row r="229" spans="1:8" ht="19.899999999999999" hidden="1" customHeight="1">
      <c r="A229" s="14" t="s">
        <v>655</v>
      </c>
      <c r="B229" s="14" t="s">
        <v>1216</v>
      </c>
      <c r="C229" s="14"/>
      <c r="D229" s="16"/>
      <c r="E229" s="15"/>
      <c r="F229" s="14"/>
      <c r="G229" s="14" t="s">
        <v>290</v>
      </c>
      <c r="H229" s="14" t="s">
        <v>783</v>
      </c>
    </row>
    <row r="230" spans="1:8" ht="19.899999999999999" customHeight="1">
      <c r="A230" s="14" t="s">
        <v>655</v>
      </c>
      <c r="B230" s="14" t="s">
        <v>1217</v>
      </c>
      <c r="C230" s="14"/>
      <c r="D230" s="16"/>
      <c r="E230" s="15"/>
      <c r="F230" s="14"/>
      <c r="G230" s="14" t="s">
        <v>290</v>
      </c>
      <c r="H230" s="14" t="s">
        <v>801</v>
      </c>
    </row>
    <row r="231" spans="1:8" ht="19.899999999999999" customHeight="1">
      <c r="A231" s="14" t="s">
        <v>655</v>
      </c>
      <c r="B231" s="14" t="s">
        <v>1218</v>
      </c>
      <c r="C231" s="14"/>
      <c r="D231" s="16">
        <v>62560</v>
      </c>
      <c r="E231" s="15">
        <v>448</v>
      </c>
      <c r="F231" s="14"/>
      <c r="G231" s="14" t="s">
        <v>290</v>
      </c>
      <c r="H231" s="14" t="s">
        <v>801</v>
      </c>
    </row>
    <row r="232" spans="1:8" ht="19.899999999999999" hidden="1" customHeight="1">
      <c r="A232" s="14" t="s">
        <v>655</v>
      </c>
      <c r="B232" s="14" t="s">
        <v>1219</v>
      </c>
      <c r="C232" s="14"/>
      <c r="D232" s="16"/>
      <c r="E232" s="15"/>
      <c r="F232" s="14"/>
      <c r="G232" s="14" t="s">
        <v>290</v>
      </c>
      <c r="H232" s="14" t="s">
        <v>783</v>
      </c>
    </row>
    <row r="233" spans="1:8" ht="19.899999999999999" hidden="1" customHeight="1">
      <c r="A233" s="14" t="s">
        <v>1220</v>
      </c>
      <c r="B233" s="14" t="s">
        <v>1221</v>
      </c>
      <c r="C233" s="14"/>
      <c r="D233" s="16"/>
      <c r="E233" s="15">
        <v>33</v>
      </c>
      <c r="F233" s="14"/>
      <c r="G233" s="14" t="s">
        <v>290</v>
      </c>
      <c r="H233" s="14" t="s">
        <v>783</v>
      </c>
    </row>
    <row r="234" spans="1:8" ht="19.899999999999999" hidden="1" customHeight="1">
      <c r="A234" s="14" t="s">
        <v>1222</v>
      </c>
      <c r="B234" s="14" t="s">
        <v>1223</v>
      </c>
      <c r="C234" s="14" t="s">
        <v>1224</v>
      </c>
      <c r="D234" s="16">
        <v>96000</v>
      </c>
      <c r="E234" s="15">
        <v>480</v>
      </c>
      <c r="F234" s="14"/>
      <c r="G234" s="14" t="s">
        <v>441</v>
      </c>
      <c r="H234" s="14" t="s">
        <v>783</v>
      </c>
    </row>
    <row r="235" spans="1:8" ht="43.5" hidden="1" customHeight="1">
      <c r="A235" s="14" t="s">
        <v>1225</v>
      </c>
      <c r="B235" s="14" t="s">
        <v>1226</v>
      </c>
      <c r="C235" s="14" t="s">
        <v>1227</v>
      </c>
      <c r="D235" s="16">
        <v>6500</v>
      </c>
      <c r="E235" s="15">
        <v>40</v>
      </c>
      <c r="F235" s="14" t="s">
        <v>1228</v>
      </c>
      <c r="G235" s="14" t="s">
        <v>290</v>
      </c>
      <c r="H235" s="14" t="s">
        <v>783</v>
      </c>
    </row>
    <row r="236" spans="1:8" ht="43.5" hidden="1" customHeight="1">
      <c r="A236" s="14" t="s">
        <v>1225</v>
      </c>
      <c r="B236" s="14" t="s">
        <v>1229</v>
      </c>
      <c r="C236" s="14" t="s">
        <v>1230</v>
      </c>
      <c r="D236" s="16">
        <v>17650</v>
      </c>
      <c r="E236" s="15">
        <v>120</v>
      </c>
      <c r="F236" s="14" t="s">
        <v>1231</v>
      </c>
      <c r="G236" s="14" t="s">
        <v>571</v>
      </c>
      <c r="H236" s="14" t="s">
        <v>783</v>
      </c>
    </row>
    <row r="237" spans="1:8" ht="19.899999999999999" hidden="1" customHeight="1">
      <c r="A237" s="14" t="s">
        <v>1225</v>
      </c>
      <c r="B237" s="14" t="s">
        <v>1232</v>
      </c>
      <c r="C237" s="14"/>
      <c r="D237" s="16">
        <v>500000</v>
      </c>
      <c r="E237" s="15">
        <v>4000</v>
      </c>
      <c r="F237" s="14"/>
      <c r="G237" s="14" t="s">
        <v>383</v>
      </c>
      <c r="H237" s="14" t="s">
        <v>783</v>
      </c>
    </row>
    <row r="238" spans="1:8" ht="43.5" customHeight="1">
      <c r="A238" s="14" t="s">
        <v>222</v>
      </c>
      <c r="B238" s="14" t="s">
        <v>1233</v>
      </c>
      <c r="C238" s="14" t="s">
        <v>544</v>
      </c>
      <c r="D238" s="16"/>
      <c r="E238" s="15"/>
      <c r="F238" s="14"/>
      <c r="G238" s="14" t="s">
        <v>290</v>
      </c>
      <c r="H238" s="14" t="s">
        <v>801</v>
      </c>
    </row>
    <row r="239" spans="1:8" ht="28.9" customHeight="1">
      <c r="A239" s="14" t="s">
        <v>222</v>
      </c>
      <c r="B239" s="14" t="s">
        <v>1234</v>
      </c>
      <c r="C239" s="14" t="s">
        <v>546</v>
      </c>
      <c r="D239" s="16"/>
      <c r="E239" s="15"/>
      <c r="F239" s="14"/>
      <c r="G239" s="14" t="s">
        <v>290</v>
      </c>
      <c r="H239" s="14" t="s">
        <v>801</v>
      </c>
    </row>
    <row r="240" spans="1:8" ht="19.899999999999999" hidden="1" customHeight="1">
      <c r="A240" s="14" t="s">
        <v>222</v>
      </c>
      <c r="B240" s="14" t="s">
        <v>1235</v>
      </c>
      <c r="C240" s="14"/>
      <c r="D240" s="16">
        <v>6000</v>
      </c>
      <c r="E240" s="15">
        <v>40</v>
      </c>
      <c r="F240" s="14"/>
      <c r="G240" s="14" t="s">
        <v>290</v>
      </c>
      <c r="H240" s="14" t="s">
        <v>783</v>
      </c>
    </row>
    <row r="241" spans="1:8" ht="19.899999999999999" hidden="1" customHeight="1">
      <c r="A241" s="14" t="s">
        <v>222</v>
      </c>
      <c r="B241" s="14" t="s">
        <v>1236</v>
      </c>
      <c r="C241" s="14" t="s">
        <v>1237</v>
      </c>
      <c r="D241" s="16">
        <v>35000</v>
      </c>
      <c r="E241" s="15">
        <v>233</v>
      </c>
      <c r="F241" s="14"/>
      <c r="G241" s="14" t="s">
        <v>290</v>
      </c>
      <c r="H241" s="14" t="s">
        <v>783</v>
      </c>
    </row>
    <row r="242" spans="1:8" ht="28.9" customHeight="1">
      <c r="A242" s="14" t="s">
        <v>222</v>
      </c>
      <c r="B242" s="14" t="s">
        <v>1238</v>
      </c>
      <c r="C242" s="14" t="s">
        <v>548</v>
      </c>
      <c r="D242" s="16"/>
      <c r="E242" s="15"/>
      <c r="F242" s="14"/>
      <c r="G242" s="14" t="s">
        <v>290</v>
      </c>
      <c r="H242" s="14" t="s">
        <v>801</v>
      </c>
    </row>
    <row r="243" spans="1:8" ht="28.9" customHeight="1">
      <c r="A243" s="14" t="s">
        <v>222</v>
      </c>
      <c r="B243" s="14" t="s">
        <v>1239</v>
      </c>
      <c r="C243" s="14" t="s">
        <v>550</v>
      </c>
      <c r="D243" s="16"/>
      <c r="E243" s="15"/>
      <c r="F243" s="14"/>
      <c r="G243" s="14" t="s">
        <v>290</v>
      </c>
      <c r="H243" s="14" t="s">
        <v>801</v>
      </c>
    </row>
    <row r="244" spans="1:8" ht="28.9" customHeight="1">
      <c r="A244" s="14" t="s">
        <v>222</v>
      </c>
      <c r="B244" s="14" t="s">
        <v>1240</v>
      </c>
      <c r="C244" s="14" t="s">
        <v>552</v>
      </c>
      <c r="D244" s="16"/>
      <c r="E244" s="15"/>
      <c r="F244" s="14"/>
      <c r="G244" s="14" t="s">
        <v>290</v>
      </c>
      <c r="H244" s="14" t="s">
        <v>801</v>
      </c>
    </row>
    <row r="245" spans="1:8" ht="43.5" hidden="1" customHeight="1">
      <c r="A245" s="14" t="s">
        <v>222</v>
      </c>
      <c r="B245" s="14" t="s">
        <v>1241</v>
      </c>
      <c r="C245" s="14" t="s">
        <v>1242</v>
      </c>
      <c r="D245" s="16">
        <v>75000</v>
      </c>
      <c r="E245" s="15">
        <v>485</v>
      </c>
      <c r="F245" s="14"/>
      <c r="G245" s="14" t="s">
        <v>441</v>
      </c>
      <c r="H245" s="14" t="s">
        <v>783</v>
      </c>
    </row>
    <row r="246" spans="1:8" ht="28.9" hidden="1" customHeight="1">
      <c r="A246" s="14" t="s">
        <v>222</v>
      </c>
      <c r="B246" s="14" t="s">
        <v>1243</v>
      </c>
      <c r="C246" s="14" t="s">
        <v>1244</v>
      </c>
      <c r="D246" s="16"/>
      <c r="E246" s="15"/>
      <c r="F246" s="14"/>
      <c r="G246" s="14" t="s">
        <v>290</v>
      </c>
      <c r="H246" s="14" t="s">
        <v>783</v>
      </c>
    </row>
    <row r="247" spans="1:8" ht="19.899999999999999" hidden="1" customHeight="1">
      <c r="A247" s="14" t="s">
        <v>222</v>
      </c>
      <c r="B247" s="14" t="s">
        <v>1245</v>
      </c>
      <c r="C247" s="14" t="s">
        <v>1246</v>
      </c>
      <c r="D247" s="16"/>
      <c r="E247" s="15"/>
      <c r="F247" s="14"/>
      <c r="G247" s="14" t="s">
        <v>290</v>
      </c>
      <c r="H247" s="14" t="s">
        <v>783</v>
      </c>
    </row>
    <row r="248" spans="1:8" ht="19.899999999999999" hidden="1" customHeight="1">
      <c r="A248" s="14" t="s">
        <v>222</v>
      </c>
      <c r="B248" s="14" t="s">
        <v>1247</v>
      </c>
      <c r="C248" s="14" t="s">
        <v>1248</v>
      </c>
      <c r="D248" s="16"/>
      <c r="E248" s="15"/>
      <c r="F248" s="14"/>
      <c r="G248" s="14" t="s">
        <v>416</v>
      </c>
      <c r="H248" s="14" t="s">
        <v>783</v>
      </c>
    </row>
    <row r="249" spans="1:8" ht="28.9" hidden="1" customHeight="1">
      <c r="A249" s="14" t="s">
        <v>222</v>
      </c>
      <c r="B249" s="14" t="s">
        <v>1249</v>
      </c>
      <c r="C249" s="14" t="s">
        <v>1250</v>
      </c>
      <c r="D249" s="16"/>
      <c r="E249" s="15"/>
      <c r="F249" s="14"/>
      <c r="G249" s="14" t="s">
        <v>290</v>
      </c>
      <c r="H249" s="14" t="s">
        <v>783</v>
      </c>
    </row>
    <row r="250" spans="1:8" ht="43.5" hidden="1" customHeight="1">
      <c r="A250" s="14" t="s">
        <v>222</v>
      </c>
      <c r="B250" s="14" t="s">
        <v>1251</v>
      </c>
      <c r="C250" s="14" t="s">
        <v>1252</v>
      </c>
      <c r="D250" s="16"/>
      <c r="E250" s="15"/>
      <c r="F250" s="14"/>
      <c r="G250" s="14" t="s">
        <v>290</v>
      </c>
      <c r="H250" s="14" t="s">
        <v>783</v>
      </c>
    </row>
    <row r="251" spans="1:8" ht="28.9" hidden="1" customHeight="1">
      <c r="A251" s="14" t="s">
        <v>222</v>
      </c>
      <c r="B251" s="14" t="s">
        <v>1253</v>
      </c>
      <c r="C251" s="14" t="s">
        <v>1254</v>
      </c>
      <c r="D251" s="16"/>
      <c r="E251" s="15"/>
      <c r="F251" s="14"/>
      <c r="G251" s="14" t="s">
        <v>290</v>
      </c>
      <c r="H251" s="14" t="s">
        <v>783</v>
      </c>
    </row>
    <row r="252" spans="1:8" ht="28.9" hidden="1" customHeight="1">
      <c r="A252" s="14" t="s">
        <v>222</v>
      </c>
      <c r="B252" s="14" t="s">
        <v>1255</v>
      </c>
      <c r="C252" s="14" t="s">
        <v>1256</v>
      </c>
      <c r="D252" s="16"/>
      <c r="E252" s="15"/>
      <c r="F252" s="14"/>
      <c r="G252" s="14" t="s">
        <v>290</v>
      </c>
      <c r="H252" s="14" t="s">
        <v>783</v>
      </c>
    </row>
    <row r="253" spans="1:8" ht="28.9" hidden="1" customHeight="1">
      <c r="A253" s="14" t="s">
        <v>222</v>
      </c>
      <c r="B253" s="14" t="s">
        <v>1257</v>
      </c>
      <c r="C253" s="14" t="s">
        <v>1258</v>
      </c>
      <c r="D253" s="16">
        <v>14400</v>
      </c>
      <c r="E253" s="15">
        <v>480</v>
      </c>
      <c r="F253" s="14" t="s">
        <v>1259</v>
      </c>
      <c r="G253" s="14" t="s">
        <v>290</v>
      </c>
      <c r="H253" s="14" t="s">
        <v>783</v>
      </c>
    </row>
    <row r="254" spans="1:8" ht="43.5" hidden="1" customHeight="1">
      <c r="A254" s="14" t="s">
        <v>222</v>
      </c>
      <c r="B254" s="14" t="s">
        <v>1260</v>
      </c>
      <c r="C254" s="14" t="s">
        <v>1261</v>
      </c>
      <c r="D254" s="16">
        <v>72500</v>
      </c>
      <c r="E254" s="15">
        <v>470</v>
      </c>
      <c r="F254" s="14"/>
      <c r="G254" s="14" t="s">
        <v>290</v>
      </c>
      <c r="H254" s="14" t="s">
        <v>783</v>
      </c>
    </row>
    <row r="255" spans="1:8" ht="28.9" hidden="1" customHeight="1">
      <c r="A255" s="14" t="s">
        <v>222</v>
      </c>
      <c r="B255" s="14" t="s">
        <v>1262</v>
      </c>
      <c r="C255" s="14" t="s">
        <v>1263</v>
      </c>
      <c r="D255" s="16">
        <v>75000</v>
      </c>
      <c r="E255" s="15">
        <v>500</v>
      </c>
      <c r="F255" s="14"/>
      <c r="G255" s="14" t="s">
        <v>290</v>
      </c>
      <c r="H255" s="14" t="s">
        <v>783</v>
      </c>
    </row>
    <row r="256" spans="1:8" ht="19.899999999999999" hidden="1" customHeight="1">
      <c r="A256" s="14" t="s">
        <v>222</v>
      </c>
      <c r="B256" s="14" t="s">
        <v>1264</v>
      </c>
      <c r="C256" s="14"/>
      <c r="D256" s="16"/>
      <c r="E256" s="15"/>
      <c r="F256" s="14"/>
      <c r="G256" s="14" t="s">
        <v>290</v>
      </c>
      <c r="H256" s="14" t="s">
        <v>783</v>
      </c>
    </row>
    <row r="257" spans="1:8" ht="19.899999999999999" hidden="1" customHeight="1">
      <c r="A257" s="14" t="s">
        <v>222</v>
      </c>
      <c r="B257" s="14" t="s">
        <v>1265</v>
      </c>
      <c r="C257" s="14" t="s">
        <v>1266</v>
      </c>
      <c r="D257" s="16">
        <v>72500</v>
      </c>
      <c r="E257" s="15">
        <v>470</v>
      </c>
      <c r="F257" s="14"/>
      <c r="G257" s="14" t="s">
        <v>290</v>
      </c>
      <c r="H257" s="14" t="s">
        <v>783</v>
      </c>
    </row>
    <row r="258" spans="1:8" ht="28.9" hidden="1" customHeight="1">
      <c r="A258" s="14" t="s">
        <v>222</v>
      </c>
      <c r="B258" s="14" t="s">
        <v>1267</v>
      </c>
      <c r="C258" s="14" t="s">
        <v>1268</v>
      </c>
      <c r="D258" s="16">
        <v>72500</v>
      </c>
      <c r="E258" s="15">
        <v>470</v>
      </c>
      <c r="F258" s="14"/>
      <c r="G258" s="14" t="s">
        <v>290</v>
      </c>
      <c r="H258" s="14" t="s">
        <v>783</v>
      </c>
    </row>
    <row r="259" spans="1:8" ht="19.899999999999999" hidden="1" customHeight="1">
      <c r="A259" s="14" t="s">
        <v>222</v>
      </c>
      <c r="B259" s="14" t="s">
        <v>1269</v>
      </c>
      <c r="C259" s="14" t="s">
        <v>1270</v>
      </c>
      <c r="D259" s="16">
        <v>0</v>
      </c>
      <c r="E259" s="15">
        <v>0</v>
      </c>
      <c r="F259" s="14"/>
      <c r="G259" s="14" t="s">
        <v>290</v>
      </c>
      <c r="H259" s="14" t="s">
        <v>783</v>
      </c>
    </row>
    <row r="260" spans="1:8" ht="43.5" hidden="1" customHeight="1">
      <c r="A260" s="14" t="s">
        <v>1271</v>
      </c>
      <c r="B260" s="14" t="s">
        <v>1272</v>
      </c>
      <c r="C260" s="14" t="s">
        <v>1273</v>
      </c>
      <c r="D260" s="16"/>
      <c r="E260" s="15"/>
      <c r="F260" s="14"/>
      <c r="G260" s="14" t="s">
        <v>290</v>
      </c>
      <c r="H260" s="14" t="s">
        <v>783</v>
      </c>
    </row>
    <row r="261" spans="1:8" ht="19.899999999999999" hidden="1" customHeight="1">
      <c r="A261" s="14" t="s">
        <v>533</v>
      </c>
      <c r="B261" s="14" t="s">
        <v>1274</v>
      </c>
      <c r="C261" s="14"/>
      <c r="D261" s="16"/>
      <c r="E261" s="15"/>
      <c r="F261" s="14"/>
      <c r="G261" s="14" t="s">
        <v>383</v>
      </c>
      <c r="H261" s="14" t="s">
        <v>783</v>
      </c>
    </row>
    <row r="262" spans="1:8" ht="19.899999999999999" hidden="1" customHeight="1">
      <c r="A262" s="14" t="s">
        <v>1275</v>
      </c>
      <c r="B262" s="14" t="s">
        <v>1276</v>
      </c>
      <c r="C262" s="14" t="s">
        <v>1277</v>
      </c>
      <c r="D262" s="16">
        <v>300000</v>
      </c>
      <c r="E262" s="15">
        <v>2000</v>
      </c>
      <c r="F262" s="14"/>
      <c r="G262" s="14" t="s">
        <v>290</v>
      </c>
      <c r="H262" s="14" t="s">
        <v>783</v>
      </c>
    </row>
    <row r="263" spans="1:8" ht="43.5" hidden="1" customHeight="1">
      <c r="A263" s="14" t="s">
        <v>1278</v>
      </c>
      <c r="B263" s="14" t="s">
        <v>1279</v>
      </c>
      <c r="C263" s="14" t="s">
        <v>1280</v>
      </c>
      <c r="D263" s="16"/>
      <c r="E263" s="15"/>
      <c r="F263" s="14"/>
      <c r="G263" s="14" t="s">
        <v>290</v>
      </c>
      <c r="H263" s="14" t="s">
        <v>783</v>
      </c>
    </row>
    <row r="264" spans="1:8" ht="19.899999999999999" customHeight="1">
      <c r="A264" s="14" t="s">
        <v>534</v>
      </c>
      <c r="B264" s="14" t="s">
        <v>841</v>
      </c>
      <c r="C264" s="14"/>
      <c r="D264" s="16"/>
      <c r="E264" s="15"/>
      <c r="F264" s="14"/>
      <c r="G264" s="14" t="s">
        <v>290</v>
      </c>
      <c r="H264" s="14" t="s">
        <v>801</v>
      </c>
    </row>
    <row r="265" spans="1:8" ht="43.5" customHeight="1">
      <c r="A265" s="14" t="s">
        <v>210</v>
      </c>
      <c r="B265" s="14" t="s">
        <v>1281</v>
      </c>
      <c r="C265" s="14" t="s">
        <v>537</v>
      </c>
      <c r="D265" s="16">
        <v>1300</v>
      </c>
      <c r="E265" s="15">
        <v>10</v>
      </c>
      <c r="F265" s="14" t="s">
        <v>1282</v>
      </c>
      <c r="G265" s="14" t="s">
        <v>290</v>
      </c>
      <c r="H265" s="14" t="s">
        <v>801</v>
      </c>
    </row>
    <row r="266" spans="1:8" ht="72.400000000000006" hidden="1" customHeight="1">
      <c r="A266" s="14" t="s">
        <v>210</v>
      </c>
      <c r="B266" s="14" t="s">
        <v>1283</v>
      </c>
      <c r="C266" s="14" t="s">
        <v>1284</v>
      </c>
      <c r="D266" s="16">
        <v>388500</v>
      </c>
      <c r="E266" s="15">
        <v>3040</v>
      </c>
      <c r="F266" s="14" t="s">
        <v>1285</v>
      </c>
      <c r="G266" s="14" t="s">
        <v>290</v>
      </c>
      <c r="H266" s="14" t="s">
        <v>783</v>
      </c>
    </row>
    <row r="267" spans="1:8" ht="72.400000000000006" hidden="1" customHeight="1">
      <c r="A267" s="14" t="s">
        <v>210</v>
      </c>
      <c r="B267" s="14" t="s">
        <v>1286</v>
      </c>
      <c r="C267" s="14" t="s">
        <v>1287</v>
      </c>
      <c r="D267" s="16">
        <v>230000</v>
      </c>
      <c r="E267" s="15">
        <v>1776</v>
      </c>
      <c r="F267" s="14" t="s">
        <v>1288</v>
      </c>
      <c r="G267" s="14" t="s">
        <v>383</v>
      </c>
      <c r="H267" s="14" t="s">
        <v>783</v>
      </c>
    </row>
    <row r="268" spans="1:8" ht="19.899999999999999" hidden="1" customHeight="1">
      <c r="A268" s="14" t="s">
        <v>1289</v>
      </c>
      <c r="B268" s="14" t="s">
        <v>1290</v>
      </c>
      <c r="C268" s="14"/>
      <c r="D268" s="16"/>
      <c r="E268" s="15"/>
      <c r="F268" s="14"/>
      <c r="G268" s="14" t="s">
        <v>290</v>
      </c>
      <c r="H268" s="14" t="s">
        <v>783</v>
      </c>
    </row>
    <row r="269" spans="1:8" ht="43.5" hidden="1" customHeight="1">
      <c r="A269" s="14" t="s">
        <v>1291</v>
      </c>
      <c r="B269" s="14" t="s">
        <v>1292</v>
      </c>
      <c r="C269" s="14" t="s">
        <v>1293</v>
      </c>
      <c r="D269" s="16">
        <v>3000</v>
      </c>
      <c r="E269" s="15">
        <v>20</v>
      </c>
      <c r="F269" s="14"/>
      <c r="G269" s="14" t="s">
        <v>383</v>
      </c>
      <c r="H269" s="14" t="s">
        <v>783</v>
      </c>
    </row>
    <row r="270" spans="1:8" ht="28.9" hidden="1" customHeight="1">
      <c r="A270" s="14" t="s">
        <v>1291</v>
      </c>
      <c r="B270" s="14" t="s">
        <v>1294</v>
      </c>
      <c r="C270" s="14" t="s">
        <v>1295</v>
      </c>
      <c r="D270" s="16">
        <v>9000</v>
      </c>
      <c r="E270" s="15"/>
      <c r="F270" s="14" t="s">
        <v>1296</v>
      </c>
      <c r="G270" s="14" t="s">
        <v>383</v>
      </c>
      <c r="H270" s="14" t="s">
        <v>783</v>
      </c>
    </row>
    <row r="271" spans="1:8" ht="19.899999999999999" hidden="1" customHeight="1">
      <c r="A271" s="14" t="s">
        <v>1291</v>
      </c>
      <c r="B271" s="14" t="s">
        <v>884</v>
      </c>
      <c r="C271" s="14"/>
      <c r="D271" s="16"/>
      <c r="E271" s="15"/>
      <c r="F271" s="14"/>
      <c r="G271" s="14" t="s">
        <v>290</v>
      </c>
      <c r="H271" s="14" t="s">
        <v>783</v>
      </c>
    </row>
    <row r="272" spans="1:8" ht="19.899999999999999" hidden="1" customHeight="1">
      <c r="A272" s="14" t="s">
        <v>1291</v>
      </c>
      <c r="B272" s="14" t="s">
        <v>1297</v>
      </c>
      <c r="C272" s="14"/>
      <c r="D272" s="16"/>
      <c r="E272" s="15"/>
      <c r="F272" s="14"/>
      <c r="G272" s="14" t="s">
        <v>290</v>
      </c>
      <c r="H272" s="14" t="s">
        <v>783</v>
      </c>
    </row>
    <row r="273" spans="1:8" ht="19.899999999999999" hidden="1" customHeight="1">
      <c r="A273" s="14" t="s">
        <v>1291</v>
      </c>
      <c r="B273" s="14" t="s">
        <v>1298</v>
      </c>
      <c r="C273" s="14"/>
      <c r="D273" s="16"/>
      <c r="E273" s="15"/>
      <c r="F273" s="14"/>
      <c r="G273" s="14" t="s">
        <v>290</v>
      </c>
      <c r="H273" s="14" t="s">
        <v>783</v>
      </c>
    </row>
    <row r="274" spans="1:8" ht="19.899999999999999" hidden="1" customHeight="1">
      <c r="A274" s="14" t="s">
        <v>1291</v>
      </c>
      <c r="B274" s="14" t="s">
        <v>1299</v>
      </c>
      <c r="C274" s="14"/>
      <c r="D274" s="16"/>
      <c r="E274" s="15"/>
      <c r="F274" s="14"/>
      <c r="G274" s="14" t="s">
        <v>290</v>
      </c>
      <c r="H274" s="14" t="s">
        <v>783</v>
      </c>
    </row>
    <row r="275" spans="1:8" ht="19.899999999999999" hidden="1" customHeight="1">
      <c r="A275" s="14" t="s">
        <v>1300</v>
      </c>
      <c r="B275" s="14" t="s">
        <v>1301</v>
      </c>
      <c r="C275" s="14"/>
      <c r="D275" s="16">
        <v>15000</v>
      </c>
      <c r="E275" s="15"/>
      <c r="F275" s="14"/>
      <c r="G275" s="14" t="s">
        <v>290</v>
      </c>
      <c r="H275" s="14" t="s">
        <v>783</v>
      </c>
    </row>
    <row r="276" spans="1:8" ht="19.899999999999999" hidden="1" customHeight="1">
      <c r="A276" s="14" t="s">
        <v>1300</v>
      </c>
      <c r="B276" s="14" t="s">
        <v>1302</v>
      </c>
      <c r="C276" s="14"/>
      <c r="D276" s="16">
        <v>14500</v>
      </c>
      <c r="E276" s="15"/>
      <c r="F276" s="14"/>
      <c r="G276" s="14" t="s">
        <v>290</v>
      </c>
      <c r="H276" s="14" t="s">
        <v>783</v>
      </c>
    </row>
    <row r="277" spans="1:8" ht="19.899999999999999" hidden="1" customHeight="1">
      <c r="A277" s="14" t="s">
        <v>1303</v>
      </c>
      <c r="B277" s="14" t="s">
        <v>1304</v>
      </c>
      <c r="C277" s="14" t="s">
        <v>1305</v>
      </c>
      <c r="D277" s="16">
        <v>0</v>
      </c>
      <c r="E277" s="15">
        <v>0</v>
      </c>
      <c r="F277" s="14"/>
      <c r="G277" s="14" t="s">
        <v>290</v>
      </c>
      <c r="H277" s="14" t="s">
        <v>783</v>
      </c>
    </row>
    <row r="278" spans="1:8" ht="43.5" hidden="1" customHeight="1">
      <c r="A278" s="14" t="s">
        <v>1303</v>
      </c>
      <c r="B278" s="14" t="s">
        <v>1306</v>
      </c>
      <c r="C278" s="14" t="s">
        <v>1307</v>
      </c>
      <c r="D278" s="16">
        <v>189750</v>
      </c>
      <c r="E278" s="15">
        <v>1325</v>
      </c>
      <c r="F278" s="14" t="s">
        <v>1308</v>
      </c>
      <c r="G278" s="14" t="s">
        <v>290</v>
      </c>
      <c r="H278" s="14" t="s">
        <v>783</v>
      </c>
    </row>
    <row r="279" spans="1:8" ht="72.400000000000006" hidden="1" customHeight="1">
      <c r="A279" s="14" t="s">
        <v>1303</v>
      </c>
      <c r="B279" s="14" t="s">
        <v>1309</v>
      </c>
      <c r="C279" s="14" t="s">
        <v>1310</v>
      </c>
      <c r="D279" s="16">
        <v>310200</v>
      </c>
      <c r="E279" s="15">
        <v>3859</v>
      </c>
      <c r="F279" s="14" t="s">
        <v>1311</v>
      </c>
      <c r="G279" s="14" t="s">
        <v>290</v>
      </c>
      <c r="H279" s="14" t="s">
        <v>783</v>
      </c>
    </row>
    <row r="280" spans="1:8" ht="43.5" hidden="1" customHeight="1">
      <c r="A280" s="14" t="s">
        <v>1303</v>
      </c>
      <c r="B280" s="14" t="s">
        <v>1312</v>
      </c>
      <c r="C280" s="14" t="s">
        <v>1313</v>
      </c>
      <c r="D280" s="16">
        <v>45375</v>
      </c>
      <c r="E280" s="15">
        <v>321</v>
      </c>
      <c r="F280" s="14" t="s">
        <v>1314</v>
      </c>
      <c r="G280" s="14" t="s">
        <v>290</v>
      </c>
      <c r="H280" s="14" t="s">
        <v>783</v>
      </c>
    </row>
    <row r="281" spans="1:8" ht="58.15" hidden="1" customHeight="1">
      <c r="A281" s="14" t="s">
        <v>1303</v>
      </c>
      <c r="B281" s="14" t="s">
        <v>1315</v>
      </c>
      <c r="C281" s="14" t="s">
        <v>1316</v>
      </c>
      <c r="D281" s="16">
        <v>4500</v>
      </c>
      <c r="E281" s="15">
        <v>50</v>
      </c>
      <c r="F281" s="14" t="s">
        <v>1317</v>
      </c>
      <c r="G281" s="14" t="s">
        <v>383</v>
      </c>
      <c r="H281" s="14" t="s">
        <v>783</v>
      </c>
    </row>
    <row r="282" spans="1:8" ht="19.899999999999999" hidden="1" customHeight="1">
      <c r="A282" s="14" t="s">
        <v>1318</v>
      </c>
      <c r="B282" s="14" t="s">
        <v>1319</v>
      </c>
      <c r="C282" s="14"/>
      <c r="D282" s="16"/>
      <c r="E282" s="15"/>
      <c r="F282" s="14"/>
      <c r="G282" s="14" t="s">
        <v>290</v>
      </c>
      <c r="H282" s="14" t="s">
        <v>783</v>
      </c>
    </row>
    <row r="283" spans="1:8" ht="19.899999999999999" hidden="1" customHeight="1">
      <c r="A283" s="14" t="s">
        <v>1318</v>
      </c>
      <c r="B283" s="14" t="s">
        <v>1320</v>
      </c>
      <c r="C283" s="14" t="s">
        <v>1321</v>
      </c>
      <c r="D283" s="16">
        <v>12000</v>
      </c>
      <c r="E283" s="15">
        <v>5000</v>
      </c>
      <c r="F283" s="14"/>
      <c r="G283" s="14" t="s">
        <v>290</v>
      </c>
      <c r="H283" s="14" t="s">
        <v>783</v>
      </c>
    </row>
    <row r="284" spans="1:8" ht="19.899999999999999" hidden="1" customHeight="1">
      <c r="A284" s="14" t="s">
        <v>1318</v>
      </c>
      <c r="B284" s="14" t="s">
        <v>1322</v>
      </c>
      <c r="C284" s="14" t="s">
        <v>1323</v>
      </c>
      <c r="D284" s="16"/>
      <c r="E284" s="15"/>
      <c r="F284" s="14"/>
      <c r="G284" s="14" t="s">
        <v>290</v>
      </c>
      <c r="H284" s="14" t="s">
        <v>783</v>
      </c>
    </row>
    <row r="285" spans="1:8" ht="43.5" hidden="1" customHeight="1">
      <c r="A285" s="14" t="s">
        <v>1324</v>
      </c>
      <c r="B285" s="14" t="s">
        <v>1325</v>
      </c>
      <c r="C285" s="14"/>
      <c r="D285" s="16">
        <v>1800</v>
      </c>
      <c r="E285" s="15">
        <v>10</v>
      </c>
      <c r="F285" s="14" t="s">
        <v>1326</v>
      </c>
      <c r="G285" s="14" t="s">
        <v>290</v>
      </c>
      <c r="H285" s="14" t="s">
        <v>783</v>
      </c>
    </row>
    <row r="286" spans="1:8" ht="19.899999999999999" hidden="1" customHeight="1">
      <c r="A286" s="14" t="s">
        <v>1327</v>
      </c>
      <c r="B286" s="14" t="s">
        <v>1328</v>
      </c>
      <c r="C286" s="14"/>
      <c r="D286" s="16">
        <v>12000</v>
      </c>
      <c r="E286" s="15">
        <v>80</v>
      </c>
      <c r="F286" s="14"/>
      <c r="G286" s="14" t="s">
        <v>290</v>
      </c>
      <c r="H286" s="14" t="s">
        <v>783</v>
      </c>
    </row>
    <row r="287" spans="1:8" ht="19.899999999999999" hidden="1" customHeight="1">
      <c r="A287" s="14" t="s">
        <v>1329</v>
      </c>
      <c r="B287" s="14" t="s">
        <v>1330</v>
      </c>
      <c r="C287" s="14"/>
      <c r="D287" s="16"/>
      <c r="E287" s="15"/>
      <c r="F287" s="14"/>
      <c r="G287" s="14" t="s">
        <v>290</v>
      </c>
      <c r="H287" s="14" t="s">
        <v>783</v>
      </c>
    </row>
    <row r="288" spans="1:8" ht="19.899999999999999" hidden="1" customHeight="1">
      <c r="A288" s="14" t="s">
        <v>1329</v>
      </c>
      <c r="B288" s="14" t="s">
        <v>1331</v>
      </c>
      <c r="C288" s="14"/>
      <c r="D288" s="16"/>
      <c r="E288" s="15">
        <v>160</v>
      </c>
      <c r="F288" s="14"/>
      <c r="G288" s="14" t="s">
        <v>571</v>
      </c>
      <c r="H288" s="14" t="s">
        <v>783</v>
      </c>
    </row>
    <row r="289" spans="1:8" ht="19.899999999999999" hidden="1" customHeight="1">
      <c r="A289" s="14" t="s">
        <v>1329</v>
      </c>
      <c r="B289" s="14" t="s">
        <v>1332</v>
      </c>
      <c r="C289" s="14"/>
      <c r="D289" s="16"/>
      <c r="E289" s="15"/>
      <c r="F289" s="14"/>
      <c r="G289" s="14" t="s">
        <v>290</v>
      </c>
      <c r="H289" s="14" t="s">
        <v>783</v>
      </c>
    </row>
    <row r="290" spans="1:8" ht="19.899999999999999" hidden="1" customHeight="1">
      <c r="A290" s="14" t="s">
        <v>1333</v>
      </c>
      <c r="B290" s="14" t="s">
        <v>1334</v>
      </c>
      <c r="C290" s="14" t="s">
        <v>1335</v>
      </c>
      <c r="D290" s="16">
        <v>34400</v>
      </c>
      <c r="E290" s="15">
        <v>176</v>
      </c>
      <c r="F290" s="14"/>
      <c r="G290" s="14" t="s">
        <v>290</v>
      </c>
      <c r="H290" s="14" t="s">
        <v>783</v>
      </c>
    </row>
    <row r="291" spans="1:8" ht="19.899999999999999" hidden="1" customHeight="1">
      <c r="A291" s="14" t="s">
        <v>553</v>
      </c>
      <c r="B291" s="14" t="s">
        <v>1336</v>
      </c>
      <c r="C291" s="14"/>
      <c r="D291" s="16"/>
      <c r="E291" s="15"/>
      <c r="F291" s="14"/>
      <c r="G291" s="14" t="s">
        <v>383</v>
      </c>
      <c r="H291" s="14" t="s">
        <v>783</v>
      </c>
    </row>
    <row r="292" spans="1:8" ht="28.9" customHeight="1">
      <c r="A292" s="14" t="s">
        <v>553</v>
      </c>
      <c r="B292" s="14" t="s">
        <v>1337</v>
      </c>
      <c r="C292" s="14" t="s">
        <v>557</v>
      </c>
      <c r="D292" s="16">
        <v>56875</v>
      </c>
      <c r="E292" s="15">
        <v>405</v>
      </c>
      <c r="F292" s="14" t="s">
        <v>439</v>
      </c>
      <c r="G292" s="14" t="s">
        <v>290</v>
      </c>
      <c r="H292" s="14" t="s">
        <v>801</v>
      </c>
    </row>
    <row r="293" spans="1:8" ht="19.899999999999999" customHeight="1">
      <c r="A293" s="14" t="s">
        <v>553</v>
      </c>
      <c r="B293" s="14" t="s">
        <v>1338</v>
      </c>
      <c r="C293" s="14"/>
      <c r="D293" s="16"/>
      <c r="E293" s="15"/>
      <c r="F293" s="14"/>
      <c r="G293" s="14" t="s">
        <v>290</v>
      </c>
      <c r="H293" s="14" t="s">
        <v>801</v>
      </c>
    </row>
    <row r="294" spans="1:8" ht="19.899999999999999" hidden="1" customHeight="1">
      <c r="A294" s="14" t="s">
        <v>224</v>
      </c>
      <c r="B294" s="14" t="s">
        <v>1339</v>
      </c>
      <c r="C294" s="14"/>
      <c r="D294" s="16"/>
      <c r="E294" s="15"/>
      <c r="F294" s="14"/>
      <c r="G294" s="14" t="s">
        <v>290</v>
      </c>
      <c r="H294" s="14" t="s">
        <v>783</v>
      </c>
    </row>
    <row r="295" spans="1:8" ht="19.899999999999999" hidden="1" customHeight="1">
      <c r="A295" s="14" t="s">
        <v>224</v>
      </c>
      <c r="B295" s="14" t="s">
        <v>973</v>
      </c>
      <c r="C295" s="14"/>
      <c r="D295" s="16"/>
      <c r="E295" s="15"/>
      <c r="F295" s="14"/>
      <c r="G295" s="14" t="s">
        <v>290</v>
      </c>
      <c r="H295" s="14" t="s">
        <v>783</v>
      </c>
    </row>
    <row r="296" spans="1:8" ht="19.899999999999999" hidden="1" customHeight="1">
      <c r="A296" s="14" t="s">
        <v>224</v>
      </c>
      <c r="B296" s="14" t="s">
        <v>1340</v>
      </c>
      <c r="C296" s="14"/>
      <c r="D296" s="16"/>
      <c r="E296" s="15"/>
      <c r="F296" s="14"/>
      <c r="G296" s="14" t="s">
        <v>290</v>
      </c>
      <c r="H296" s="14" t="s">
        <v>783</v>
      </c>
    </row>
    <row r="297" spans="1:8" ht="19.899999999999999" hidden="1" customHeight="1">
      <c r="A297" s="14" t="s">
        <v>224</v>
      </c>
      <c r="B297" s="14" t="s">
        <v>1341</v>
      </c>
      <c r="C297" s="14"/>
      <c r="D297" s="16">
        <v>21175</v>
      </c>
      <c r="E297" s="15">
        <v>121</v>
      </c>
      <c r="F297" s="14"/>
      <c r="G297" s="14" t="s">
        <v>290</v>
      </c>
      <c r="H297" s="14" t="s">
        <v>783</v>
      </c>
    </row>
    <row r="298" spans="1:8" ht="19.899999999999999" hidden="1" customHeight="1">
      <c r="A298" s="14" t="s">
        <v>224</v>
      </c>
      <c r="B298" s="14" t="s">
        <v>1342</v>
      </c>
      <c r="C298" s="14"/>
      <c r="D298" s="16"/>
      <c r="E298" s="15"/>
      <c r="F298" s="14"/>
      <c r="G298" s="14" t="s">
        <v>290</v>
      </c>
      <c r="H298" s="14" t="s">
        <v>783</v>
      </c>
    </row>
    <row r="299" spans="1:8" ht="43.5" hidden="1" customHeight="1">
      <c r="A299" s="14" t="s">
        <v>224</v>
      </c>
      <c r="B299" s="14" t="s">
        <v>1343</v>
      </c>
      <c r="C299" s="14" t="s">
        <v>1344</v>
      </c>
      <c r="D299" s="16">
        <v>21700</v>
      </c>
      <c r="E299" s="15"/>
      <c r="F299" s="14"/>
      <c r="G299" s="14" t="s">
        <v>290</v>
      </c>
      <c r="H299" s="14" t="s">
        <v>783</v>
      </c>
    </row>
    <row r="300" spans="1:8" ht="28.9" hidden="1" customHeight="1">
      <c r="A300" s="14" t="s">
        <v>224</v>
      </c>
      <c r="B300" s="14" t="s">
        <v>1345</v>
      </c>
      <c r="C300" s="14" t="s">
        <v>1346</v>
      </c>
      <c r="D300" s="16">
        <v>7000</v>
      </c>
      <c r="E300" s="15">
        <v>40</v>
      </c>
      <c r="F300" s="14"/>
      <c r="G300" s="14" t="s">
        <v>290</v>
      </c>
      <c r="H300" s="14" t="s">
        <v>783</v>
      </c>
    </row>
    <row r="301" spans="1:8" ht="43.5" hidden="1" customHeight="1">
      <c r="A301" s="14" t="s">
        <v>659</v>
      </c>
      <c r="B301" s="14" t="s">
        <v>884</v>
      </c>
      <c r="C301" s="14" t="s">
        <v>1347</v>
      </c>
      <c r="D301" s="16">
        <v>36000</v>
      </c>
      <c r="E301" s="15">
        <v>240</v>
      </c>
      <c r="F301" s="14" t="s">
        <v>1348</v>
      </c>
      <c r="G301" s="14" t="s">
        <v>290</v>
      </c>
      <c r="H301" s="14" t="s">
        <v>783</v>
      </c>
    </row>
    <row r="302" spans="1:8" ht="19.899999999999999" hidden="1" customHeight="1">
      <c r="A302" s="14" t="s">
        <v>228</v>
      </c>
      <c r="B302" s="14" t="s">
        <v>1349</v>
      </c>
      <c r="C302" s="14"/>
      <c r="D302" s="16"/>
      <c r="E302" s="15"/>
      <c r="F302" s="14"/>
      <c r="G302" s="14" t="s">
        <v>290</v>
      </c>
      <c r="H302" s="14" t="s">
        <v>783</v>
      </c>
    </row>
    <row r="303" spans="1:8" ht="19.899999999999999" hidden="1" customHeight="1">
      <c r="A303" s="14" t="s">
        <v>228</v>
      </c>
      <c r="B303" s="14" t="s">
        <v>1350</v>
      </c>
      <c r="C303" s="14"/>
      <c r="D303" s="16">
        <v>4000</v>
      </c>
      <c r="E303" s="15"/>
      <c r="F303" s="14"/>
      <c r="G303" s="14" t="s">
        <v>290</v>
      </c>
      <c r="H303" s="14" t="s">
        <v>783</v>
      </c>
    </row>
    <row r="304" spans="1:8" ht="28.9" customHeight="1">
      <c r="A304" s="14" t="s">
        <v>228</v>
      </c>
      <c r="B304" s="14" t="s">
        <v>1351</v>
      </c>
      <c r="C304" s="14" t="s">
        <v>568</v>
      </c>
      <c r="D304" s="16"/>
      <c r="E304" s="15"/>
      <c r="F304" s="14"/>
      <c r="G304" s="14" t="s">
        <v>290</v>
      </c>
      <c r="H304" s="14" t="s">
        <v>801</v>
      </c>
    </row>
    <row r="305" spans="1:8" ht="19.899999999999999" hidden="1" customHeight="1">
      <c r="A305" s="14" t="s">
        <v>1352</v>
      </c>
      <c r="B305" s="14" t="s">
        <v>1353</v>
      </c>
      <c r="C305" s="14"/>
      <c r="D305" s="16"/>
      <c r="E305" s="15"/>
      <c r="F305" s="14"/>
      <c r="G305" s="14" t="s">
        <v>290</v>
      </c>
      <c r="H305" s="14" t="s">
        <v>783</v>
      </c>
    </row>
    <row r="306" spans="1:8" ht="19.899999999999999" hidden="1" customHeight="1">
      <c r="A306" s="14" t="s">
        <v>1352</v>
      </c>
      <c r="B306" s="14" t="s">
        <v>1354</v>
      </c>
      <c r="C306" s="14"/>
      <c r="D306" s="16"/>
      <c r="E306" s="15"/>
      <c r="F306" s="14"/>
      <c r="G306" s="14" t="s">
        <v>290</v>
      </c>
      <c r="H306" s="14" t="s">
        <v>783</v>
      </c>
    </row>
    <row r="307" spans="1:8" ht="19.899999999999999" hidden="1" customHeight="1">
      <c r="A307" s="14" t="s">
        <v>1355</v>
      </c>
      <c r="B307" s="14" t="s">
        <v>1356</v>
      </c>
      <c r="C307" s="14" t="s">
        <v>1357</v>
      </c>
      <c r="D307" s="16"/>
      <c r="E307" s="15"/>
      <c r="F307" s="14"/>
      <c r="G307" s="14" t="s">
        <v>441</v>
      </c>
      <c r="H307" s="14" t="s">
        <v>783</v>
      </c>
    </row>
    <row r="308" spans="1:8" ht="43.5" hidden="1" customHeight="1">
      <c r="A308" s="14" t="s">
        <v>1355</v>
      </c>
      <c r="B308" s="14" t="s">
        <v>1358</v>
      </c>
      <c r="C308" s="14" t="s">
        <v>1359</v>
      </c>
      <c r="D308" s="16">
        <v>14960</v>
      </c>
      <c r="E308" s="15">
        <v>88</v>
      </c>
      <c r="F308" s="14" t="s">
        <v>1360</v>
      </c>
      <c r="G308" s="14" t="s">
        <v>383</v>
      </c>
      <c r="H308" s="14" t="s">
        <v>783</v>
      </c>
    </row>
    <row r="309" spans="1:8" ht="43.5" hidden="1" customHeight="1">
      <c r="A309" s="14" t="s">
        <v>1355</v>
      </c>
      <c r="B309" s="14" t="s">
        <v>1361</v>
      </c>
      <c r="C309" s="14" t="s">
        <v>1362</v>
      </c>
      <c r="D309" s="16">
        <v>37850</v>
      </c>
      <c r="E309" s="15"/>
      <c r="F309" s="14"/>
      <c r="G309" s="14" t="s">
        <v>290</v>
      </c>
      <c r="H309" s="14" t="s">
        <v>783</v>
      </c>
    </row>
    <row r="310" spans="1:8" ht="19.899999999999999" hidden="1" customHeight="1">
      <c r="A310" s="14" t="s">
        <v>1363</v>
      </c>
      <c r="B310" s="14" t="s">
        <v>1364</v>
      </c>
      <c r="C310" s="14" t="s">
        <v>1365</v>
      </c>
      <c r="D310" s="16">
        <v>31500</v>
      </c>
      <c r="E310" s="15">
        <v>210</v>
      </c>
      <c r="F310" s="14"/>
      <c r="G310" s="14" t="s">
        <v>441</v>
      </c>
      <c r="H310" s="14" t="s">
        <v>783</v>
      </c>
    </row>
    <row r="311" spans="1:8" ht="28.9" hidden="1" customHeight="1">
      <c r="A311" s="14" t="s">
        <v>1366</v>
      </c>
      <c r="B311" s="14" t="s">
        <v>1367</v>
      </c>
      <c r="C311" s="14" t="s">
        <v>1368</v>
      </c>
      <c r="D311" s="16"/>
      <c r="E311" s="15"/>
      <c r="F311" s="14"/>
      <c r="G311" s="14" t="s">
        <v>416</v>
      </c>
      <c r="H311" s="14" t="s">
        <v>783</v>
      </c>
    </row>
    <row r="312" spans="1:8" ht="19.899999999999999" customHeight="1">
      <c r="A312" s="14" t="s">
        <v>1366</v>
      </c>
      <c r="B312" s="14" t="s">
        <v>1369</v>
      </c>
      <c r="C312" s="14" t="s">
        <v>1370</v>
      </c>
      <c r="D312" s="16">
        <v>0</v>
      </c>
      <c r="E312" s="15">
        <v>0</v>
      </c>
      <c r="F312" s="14"/>
      <c r="G312" s="14" t="s">
        <v>416</v>
      </c>
      <c r="H312" s="14" t="s">
        <v>801</v>
      </c>
    </row>
    <row r="313" spans="1:8" ht="19.899999999999999" customHeight="1">
      <c r="A313" s="14" t="s">
        <v>1366</v>
      </c>
      <c r="B313" s="14" t="s">
        <v>1371</v>
      </c>
      <c r="C313" s="14" t="s">
        <v>1372</v>
      </c>
      <c r="D313" s="16">
        <v>0</v>
      </c>
      <c r="E313" s="15">
        <v>0</v>
      </c>
      <c r="F313" s="14"/>
      <c r="G313" s="14" t="s">
        <v>290</v>
      </c>
      <c r="H313" s="14" t="s">
        <v>801</v>
      </c>
    </row>
    <row r="314" spans="1:8" ht="19.899999999999999" customHeight="1">
      <c r="A314" s="14" t="s">
        <v>1366</v>
      </c>
      <c r="B314" s="14" t="s">
        <v>1373</v>
      </c>
      <c r="C314" s="14" t="s">
        <v>1374</v>
      </c>
      <c r="D314" s="16">
        <v>0</v>
      </c>
      <c r="E314" s="15">
        <v>0</v>
      </c>
      <c r="F314" s="14"/>
      <c r="G314" s="14" t="s">
        <v>416</v>
      </c>
      <c r="H314" s="14" t="s">
        <v>801</v>
      </c>
    </row>
    <row r="315" spans="1:8" ht="28.9" customHeight="1">
      <c r="A315" s="14" t="s">
        <v>1366</v>
      </c>
      <c r="B315" s="14" t="s">
        <v>1375</v>
      </c>
      <c r="C315" s="14" t="s">
        <v>1376</v>
      </c>
      <c r="D315" s="16">
        <v>0</v>
      </c>
      <c r="E315" s="15">
        <v>0</v>
      </c>
      <c r="F315" s="14"/>
      <c r="G315" s="14" t="s">
        <v>416</v>
      </c>
      <c r="H315" s="14" t="s">
        <v>801</v>
      </c>
    </row>
    <row r="316" spans="1:8" ht="19.899999999999999" customHeight="1">
      <c r="A316" s="14" t="s">
        <v>1366</v>
      </c>
      <c r="B316" s="14" t="s">
        <v>1377</v>
      </c>
      <c r="C316" s="14" t="s">
        <v>1378</v>
      </c>
      <c r="D316" s="16"/>
      <c r="E316" s="15"/>
      <c r="F316" s="14" t="s">
        <v>1379</v>
      </c>
      <c r="G316" s="14" t="s">
        <v>290</v>
      </c>
      <c r="H316" s="14" t="s">
        <v>801</v>
      </c>
    </row>
    <row r="317" spans="1:8" ht="19.899999999999999" customHeight="1">
      <c r="A317" s="14" t="s">
        <v>1366</v>
      </c>
      <c r="B317" s="14" t="s">
        <v>1380</v>
      </c>
      <c r="C317" s="14" t="s">
        <v>1381</v>
      </c>
      <c r="D317" s="16">
        <v>0</v>
      </c>
      <c r="E317" s="15">
        <v>0</v>
      </c>
      <c r="F317" s="14"/>
      <c r="G317" s="14" t="s">
        <v>290</v>
      </c>
      <c r="H317" s="14" t="s">
        <v>801</v>
      </c>
    </row>
    <row r="318" spans="1:8" ht="19.899999999999999" hidden="1" customHeight="1">
      <c r="A318" s="14" t="s">
        <v>1366</v>
      </c>
      <c r="B318" s="14" t="s">
        <v>1382</v>
      </c>
      <c r="C318" s="14" t="s">
        <v>1383</v>
      </c>
      <c r="D318" s="16"/>
      <c r="E318" s="15"/>
      <c r="F318" s="14"/>
      <c r="G318" s="14" t="s">
        <v>416</v>
      </c>
      <c r="H318" s="14" t="s">
        <v>783</v>
      </c>
    </row>
    <row r="319" spans="1:8" ht="28.9" customHeight="1">
      <c r="A319" s="14" t="s">
        <v>1366</v>
      </c>
      <c r="B319" s="14" t="s">
        <v>1384</v>
      </c>
      <c r="C319" s="14" t="s">
        <v>1385</v>
      </c>
      <c r="D319" s="16"/>
      <c r="E319" s="15"/>
      <c r="F319" s="14"/>
      <c r="G319" s="14" t="s">
        <v>416</v>
      </c>
      <c r="H319" s="14" t="s">
        <v>801</v>
      </c>
    </row>
    <row r="320" spans="1:8" ht="28.9" hidden="1" customHeight="1">
      <c r="A320" s="14" t="s">
        <v>1366</v>
      </c>
      <c r="B320" s="14" t="s">
        <v>1386</v>
      </c>
      <c r="C320" s="14" t="s">
        <v>1387</v>
      </c>
      <c r="D320" s="16"/>
      <c r="E320" s="15"/>
      <c r="F320" s="14"/>
      <c r="G320" s="14" t="s">
        <v>416</v>
      </c>
      <c r="H320" s="14" t="s">
        <v>783</v>
      </c>
    </row>
    <row r="321" spans="1:8" ht="19.899999999999999" hidden="1" customHeight="1">
      <c r="A321" s="14" t="s">
        <v>1366</v>
      </c>
      <c r="B321" s="14" t="s">
        <v>1388</v>
      </c>
      <c r="C321" s="14" t="s">
        <v>1389</v>
      </c>
      <c r="D321" s="16"/>
      <c r="E321" s="15"/>
      <c r="F321" s="14"/>
      <c r="G321" s="14" t="s">
        <v>416</v>
      </c>
      <c r="H321" s="14" t="s">
        <v>783</v>
      </c>
    </row>
    <row r="322" spans="1:8" ht="28.9" hidden="1" customHeight="1">
      <c r="A322" s="14" t="s">
        <v>1366</v>
      </c>
      <c r="B322" s="14" t="s">
        <v>1390</v>
      </c>
      <c r="C322" s="14" t="s">
        <v>1391</v>
      </c>
      <c r="D322" s="16"/>
      <c r="E322" s="15"/>
      <c r="F322" s="14"/>
      <c r="G322" s="14" t="s">
        <v>416</v>
      </c>
      <c r="H322" s="14" t="s">
        <v>783</v>
      </c>
    </row>
    <row r="323" spans="1:8" ht="28.9" hidden="1" customHeight="1">
      <c r="A323" s="14" t="s">
        <v>1366</v>
      </c>
      <c r="B323" s="14" t="s">
        <v>1392</v>
      </c>
      <c r="C323" s="14" t="s">
        <v>1393</v>
      </c>
      <c r="D323" s="16"/>
      <c r="E323" s="15"/>
      <c r="F323" s="14"/>
      <c r="G323" s="14" t="s">
        <v>416</v>
      </c>
      <c r="H323" s="14" t="s">
        <v>783</v>
      </c>
    </row>
    <row r="324" spans="1:8" ht="28.9" hidden="1" customHeight="1">
      <c r="A324" s="14" t="s">
        <v>1366</v>
      </c>
      <c r="B324" s="14" t="s">
        <v>1394</v>
      </c>
      <c r="C324" s="14" t="s">
        <v>1395</v>
      </c>
      <c r="D324" s="16"/>
      <c r="E324" s="15"/>
      <c r="F324" s="14"/>
      <c r="G324" s="14" t="s">
        <v>416</v>
      </c>
      <c r="H324" s="14" t="s">
        <v>783</v>
      </c>
    </row>
    <row r="325" spans="1:8" ht="43.5" hidden="1" customHeight="1">
      <c r="A325" s="14" t="s">
        <v>1366</v>
      </c>
      <c r="B325" s="14" t="s">
        <v>1396</v>
      </c>
      <c r="C325" s="14" t="s">
        <v>1397</v>
      </c>
      <c r="D325" s="16"/>
      <c r="E325" s="15"/>
      <c r="F325" s="14"/>
      <c r="G325" s="14" t="s">
        <v>416</v>
      </c>
      <c r="H325" s="14" t="s">
        <v>783</v>
      </c>
    </row>
    <row r="326" spans="1:8" ht="28.9" customHeight="1">
      <c r="A326" s="14" t="s">
        <v>1366</v>
      </c>
      <c r="B326" s="14" t="s">
        <v>1398</v>
      </c>
      <c r="C326" s="14" t="s">
        <v>1399</v>
      </c>
      <c r="D326" s="16">
        <v>0</v>
      </c>
      <c r="E326" s="15">
        <v>0</v>
      </c>
      <c r="F326" s="14"/>
      <c r="G326" s="14" t="s">
        <v>416</v>
      </c>
      <c r="H326" s="14" t="s">
        <v>801</v>
      </c>
    </row>
    <row r="327" spans="1:8" ht="43.5" customHeight="1">
      <c r="A327" s="14" t="s">
        <v>1366</v>
      </c>
      <c r="B327" s="14" t="s">
        <v>1400</v>
      </c>
      <c r="C327" s="14" t="s">
        <v>1401</v>
      </c>
      <c r="D327" s="16"/>
      <c r="E327" s="15"/>
      <c r="F327" s="14"/>
      <c r="G327" s="14" t="s">
        <v>416</v>
      </c>
      <c r="H327" s="14" t="s">
        <v>801</v>
      </c>
    </row>
    <row r="328" spans="1:8" ht="28.9" customHeight="1">
      <c r="A328" s="14" t="s">
        <v>1366</v>
      </c>
      <c r="B328" s="14" t="s">
        <v>1402</v>
      </c>
      <c r="C328" s="14" t="s">
        <v>1403</v>
      </c>
      <c r="D328" s="16"/>
      <c r="E328" s="15"/>
      <c r="F328" s="14"/>
      <c r="G328" s="14" t="s">
        <v>290</v>
      </c>
      <c r="H328" s="14" t="s">
        <v>801</v>
      </c>
    </row>
    <row r="329" spans="1:8" ht="28.9" customHeight="1">
      <c r="A329" s="14" t="s">
        <v>1366</v>
      </c>
      <c r="B329" s="14" t="s">
        <v>1404</v>
      </c>
      <c r="C329" s="14" t="s">
        <v>1405</v>
      </c>
      <c r="D329" s="16"/>
      <c r="E329" s="15"/>
      <c r="F329" s="14"/>
      <c r="G329" s="14" t="s">
        <v>416</v>
      </c>
      <c r="H329" s="14" t="s">
        <v>801</v>
      </c>
    </row>
    <row r="330" spans="1:8" ht="28.9" customHeight="1">
      <c r="A330" s="14" t="s">
        <v>1366</v>
      </c>
      <c r="B330" s="14" t="s">
        <v>1406</v>
      </c>
      <c r="C330" s="14" t="s">
        <v>1407</v>
      </c>
      <c r="D330" s="16"/>
      <c r="E330" s="15"/>
      <c r="F330" s="14"/>
      <c r="G330" s="14" t="s">
        <v>416</v>
      </c>
      <c r="H330" s="14" t="s">
        <v>801</v>
      </c>
    </row>
    <row r="331" spans="1:8" ht="28.9" customHeight="1">
      <c r="A331" s="14" t="s">
        <v>1366</v>
      </c>
      <c r="B331" s="14" t="s">
        <v>1408</v>
      </c>
      <c r="C331" s="14" t="s">
        <v>1409</v>
      </c>
      <c r="D331" s="16"/>
      <c r="E331" s="15"/>
      <c r="F331" s="14"/>
      <c r="G331" s="14" t="s">
        <v>416</v>
      </c>
      <c r="H331" s="14" t="s">
        <v>801</v>
      </c>
    </row>
    <row r="332" spans="1:8" ht="28.9" customHeight="1">
      <c r="A332" s="14" t="s">
        <v>1366</v>
      </c>
      <c r="B332" s="14" t="s">
        <v>1410</v>
      </c>
      <c r="C332" s="14" t="s">
        <v>1411</v>
      </c>
      <c r="D332" s="16"/>
      <c r="E332" s="15"/>
      <c r="F332" s="14"/>
      <c r="G332" s="14" t="s">
        <v>416</v>
      </c>
      <c r="H332" s="14" t="s">
        <v>801</v>
      </c>
    </row>
    <row r="333" spans="1:8" ht="19.899999999999999" customHeight="1">
      <c r="A333" s="14" t="s">
        <v>1412</v>
      </c>
      <c r="B333" s="14" t="s">
        <v>1413</v>
      </c>
      <c r="C333" s="14"/>
      <c r="D333" s="16"/>
      <c r="E333" s="15"/>
      <c r="F333" s="14"/>
      <c r="G333" s="14" t="s">
        <v>416</v>
      </c>
      <c r="H333" s="14" t="s">
        <v>801</v>
      </c>
    </row>
    <row r="334" spans="1:8" ht="28.9" customHeight="1">
      <c r="A334" s="14" t="s">
        <v>1412</v>
      </c>
      <c r="B334" s="14" t="s">
        <v>1414</v>
      </c>
      <c r="C334" s="14" t="s">
        <v>1415</v>
      </c>
      <c r="D334" s="16"/>
      <c r="E334" s="15"/>
      <c r="F334" s="14"/>
      <c r="G334" s="14" t="s">
        <v>290</v>
      </c>
      <c r="H334" s="14" t="s">
        <v>801</v>
      </c>
    </row>
    <row r="335" spans="1:8" ht="28.9" customHeight="1">
      <c r="A335" s="14" t="s">
        <v>1412</v>
      </c>
      <c r="B335" s="14" t="s">
        <v>1416</v>
      </c>
      <c r="C335" s="14" t="s">
        <v>1417</v>
      </c>
      <c r="D335" s="16">
        <v>0</v>
      </c>
      <c r="E335" s="15">
        <v>0</v>
      </c>
      <c r="F335" s="14" t="s">
        <v>1418</v>
      </c>
      <c r="G335" s="14" t="s">
        <v>383</v>
      </c>
      <c r="H335" s="14" t="s">
        <v>801</v>
      </c>
    </row>
    <row r="336" spans="1:8" ht="43.5" customHeight="1">
      <c r="A336" s="14" t="s">
        <v>1412</v>
      </c>
      <c r="B336" s="14" t="s">
        <v>1419</v>
      </c>
      <c r="C336" s="14" t="s">
        <v>1420</v>
      </c>
      <c r="D336" s="16">
        <v>0</v>
      </c>
      <c r="E336" s="15">
        <v>0</v>
      </c>
      <c r="F336" s="14" t="s">
        <v>1421</v>
      </c>
      <c r="G336" s="14" t="s">
        <v>383</v>
      </c>
      <c r="H336" s="14" t="s">
        <v>801</v>
      </c>
    </row>
    <row r="337" spans="1:8" ht="19.899999999999999" customHeight="1">
      <c r="A337" s="14" t="s">
        <v>1422</v>
      </c>
      <c r="B337" s="14" t="s">
        <v>1423</v>
      </c>
      <c r="C337" s="14" t="s">
        <v>1424</v>
      </c>
      <c r="D337" s="16"/>
      <c r="E337" s="15"/>
      <c r="F337" s="14"/>
      <c r="G337" s="14" t="s">
        <v>290</v>
      </c>
      <c r="H337" s="14" t="s">
        <v>801</v>
      </c>
    </row>
    <row r="338" spans="1:8" ht="19.899999999999999" customHeight="1">
      <c r="A338" s="14" t="s">
        <v>1422</v>
      </c>
      <c r="B338" s="14" t="s">
        <v>1425</v>
      </c>
      <c r="C338" s="14" t="s">
        <v>1426</v>
      </c>
      <c r="D338" s="16">
        <v>0</v>
      </c>
      <c r="E338" s="15">
        <v>0</v>
      </c>
      <c r="F338" s="14"/>
      <c r="G338" s="14" t="s">
        <v>416</v>
      </c>
      <c r="H338" s="14" t="s">
        <v>801</v>
      </c>
    </row>
    <row r="339" spans="1:8" ht="28.9" hidden="1" customHeight="1">
      <c r="A339" s="14" t="s">
        <v>1422</v>
      </c>
      <c r="B339" s="14" t="s">
        <v>1427</v>
      </c>
      <c r="C339" s="14" t="s">
        <v>1428</v>
      </c>
      <c r="D339" s="16"/>
      <c r="E339" s="15"/>
      <c r="F339" s="14"/>
      <c r="G339" s="14" t="s">
        <v>416</v>
      </c>
      <c r="H339" s="14" t="s">
        <v>783</v>
      </c>
    </row>
    <row r="340" spans="1:8" ht="19.899999999999999" hidden="1" customHeight="1">
      <c r="A340" s="14" t="s">
        <v>1429</v>
      </c>
      <c r="B340" s="14" t="s">
        <v>1430</v>
      </c>
      <c r="C340" s="14"/>
      <c r="D340" s="16"/>
      <c r="E340" s="15"/>
      <c r="F340" s="14"/>
      <c r="G340" s="14" t="s">
        <v>383</v>
      </c>
      <c r="H340" s="14" t="s">
        <v>783</v>
      </c>
    </row>
    <row r="341" spans="1:8" ht="19.899999999999999" customHeight="1">
      <c r="A341" s="14" t="s">
        <v>1429</v>
      </c>
      <c r="B341" s="14" t="s">
        <v>1431</v>
      </c>
      <c r="C341" s="14" t="s">
        <v>1432</v>
      </c>
      <c r="D341" s="16"/>
      <c r="E341" s="15"/>
      <c r="F341" s="14"/>
      <c r="G341" s="14" t="s">
        <v>441</v>
      </c>
      <c r="H341" s="14" t="s">
        <v>801</v>
      </c>
    </row>
    <row r="342" spans="1:8" ht="19.899999999999999" customHeight="1">
      <c r="A342" s="14" t="s">
        <v>1429</v>
      </c>
      <c r="B342" s="14" t="s">
        <v>1433</v>
      </c>
      <c r="C342" s="14"/>
      <c r="D342" s="16"/>
      <c r="E342" s="15"/>
      <c r="F342" s="14"/>
      <c r="G342" s="14" t="s">
        <v>290</v>
      </c>
      <c r="H342" s="14" t="s">
        <v>801</v>
      </c>
    </row>
    <row r="343" spans="1:8" ht="28.9" customHeight="1">
      <c r="A343" s="14" t="s">
        <v>1429</v>
      </c>
      <c r="B343" s="14" t="s">
        <v>1434</v>
      </c>
      <c r="C343" s="14" t="s">
        <v>1435</v>
      </c>
      <c r="D343" s="16"/>
      <c r="E343" s="15"/>
      <c r="F343" s="14"/>
      <c r="G343" s="14" t="s">
        <v>416</v>
      </c>
      <c r="H343" s="14" t="s">
        <v>801</v>
      </c>
    </row>
    <row r="344" spans="1:8" ht="19.899999999999999" customHeight="1">
      <c r="A344" s="14" t="s">
        <v>1429</v>
      </c>
      <c r="B344" s="14" t="s">
        <v>1436</v>
      </c>
      <c r="C344" s="14" t="s">
        <v>1437</v>
      </c>
      <c r="D344" s="16"/>
      <c r="E344" s="15"/>
      <c r="F344" s="14"/>
      <c r="G344" s="14" t="s">
        <v>290</v>
      </c>
      <c r="H344" s="14" t="s">
        <v>801</v>
      </c>
    </row>
    <row r="345" spans="1:8" ht="19.899999999999999" customHeight="1">
      <c r="A345" s="14" t="s">
        <v>1429</v>
      </c>
      <c r="B345" s="14" t="s">
        <v>1438</v>
      </c>
      <c r="C345" s="14"/>
      <c r="D345" s="16"/>
      <c r="E345" s="15"/>
      <c r="F345" s="14"/>
      <c r="G345" s="14" t="s">
        <v>416</v>
      </c>
      <c r="H345" s="14" t="s">
        <v>801</v>
      </c>
    </row>
    <row r="346" spans="1:8" ht="19.899999999999999" customHeight="1">
      <c r="A346" s="14" t="s">
        <v>1429</v>
      </c>
      <c r="B346" s="14" t="s">
        <v>1439</v>
      </c>
      <c r="C346" s="14"/>
      <c r="D346" s="16"/>
      <c r="E346" s="15"/>
      <c r="F346" s="14"/>
      <c r="G346" s="14" t="s">
        <v>441</v>
      </c>
      <c r="H346" s="14" t="s">
        <v>801</v>
      </c>
    </row>
    <row r="347" spans="1:8" ht="19.899999999999999" customHeight="1">
      <c r="A347" s="14" t="s">
        <v>1429</v>
      </c>
      <c r="B347" s="14" t="s">
        <v>1440</v>
      </c>
      <c r="C347" s="14"/>
      <c r="D347" s="16"/>
      <c r="E347" s="15"/>
      <c r="F347" s="14"/>
      <c r="G347" s="14" t="s">
        <v>416</v>
      </c>
      <c r="H347" s="14" t="s">
        <v>801</v>
      </c>
    </row>
    <row r="348" spans="1:8" ht="28.9" customHeight="1">
      <c r="A348" s="14" t="s">
        <v>1429</v>
      </c>
      <c r="B348" s="14" t="s">
        <v>1441</v>
      </c>
      <c r="C348" s="14" t="s">
        <v>1442</v>
      </c>
      <c r="D348" s="16"/>
      <c r="E348" s="15"/>
      <c r="F348" s="14"/>
      <c r="G348" s="14" t="s">
        <v>1443</v>
      </c>
      <c r="H348" s="14" t="s">
        <v>801</v>
      </c>
    </row>
    <row r="349" spans="1:8" ht="19.899999999999999" hidden="1" customHeight="1">
      <c r="A349" s="14" t="s">
        <v>1429</v>
      </c>
      <c r="B349" s="14" t="s">
        <v>1444</v>
      </c>
      <c r="C349" s="14"/>
      <c r="D349" s="16"/>
      <c r="E349" s="15"/>
      <c r="F349" s="14"/>
      <c r="G349" s="14" t="s">
        <v>290</v>
      </c>
      <c r="H349" s="14" t="s">
        <v>783</v>
      </c>
    </row>
    <row r="350" spans="1:8" ht="19.899999999999999" hidden="1" customHeight="1">
      <c r="A350" s="14" t="s">
        <v>1429</v>
      </c>
      <c r="B350" s="14" t="s">
        <v>1445</v>
      </c>
      <c r="C350" s="14"/>
      <c r="D350" s="16"/>
      <c r="E350" s="15"/>
      <c r="F350" s="14" t="s">
        <v>1446</v>
      </c>
      <c r="G350" s="14" t="s">
        <v>290</v>
      </c>
      <c r="H350" s="14" t="s">
        <v>783</v>
      </c>
    </row>
    <row r="351" spans="1:8" ht="19.899999999999999" hidden="1" customHeight="1">
      <c r="A351" s="14" t="s">
        <v>1429</v>
      </c>
      <c r="B351" s="14" t="s">
        <v>1447</v>
      </c>
      <c r="C351" s="14" t="s">
        <v>1448</v>
      </c>
      <c r="D351" s="16"/>
      <c r="E351" s="15"/>
      <c r="F351" s="14"/>
      <c r="G351" s="14" t="s">
        <v>290</v>
      </c>
      <c r="H351" s="14" t="s">
        <v>783</v>
      </c>
    </row>
    <row r="352" spans="1:8" ht="19.899999999999999" hidden="1" customHeight="1">
      <c r="A352" s="14" t="s">
        <v>1429</v>
      </c>
      <c r="B352" s="14" t="s">
        <v>1449</v>
      </c>
      <c r="C352" s="14"/>
      <c r="D352" s="16"/>
      <c r="E352" s="15"/>
      <c r="F352" s="14"/>
      <c r="G352" s="14" t="s">
        <v>290</v>
      </c>
      <c r="H352" s="14" t="s">
        <v>783</v>
      </c>
    </row>
    <row r="353" spans="1:8" ht="19.899999999999999" hidden="1" customHeight="1">
      <c r="A353" s="14" t="s">
        <v>1429</v>
      </c>
      <c r="B353" s="14" t="s">
        <v>1450</v>
      </c>
      <c r="C353" s="14"/>
      <c r="D353" s="16"/>
      <c r="E353" s="15"/>
      <c r="F353" s="14"/>
      <c r="G353" s="14" t="s">
        <v>290</v>
      </c>
      <c r="H353" s="14" t="s">
        <v>783</v>
      </c>
    </row>
    <row r="354" spans="1:8" ht="19.899999999999999" hidden="1" customHeight="1">
      <c r="A354" s="14" t="s">
        <v>1429</v>
      </c>
      <c r="B354" s="14" t="s">
        <v>1451</v>
      </c>
      <c r="C354" s="14"/>
      <c r="D354" s="16"/>
      <c r="E354" s="15"/>
      <c r="F354" s="14"/>
      <c r="G354" s="14" t="s">
        <v>290</v>
      </c>
      <c r="H354" s="14" t="s">
        <v>783</v>
      </c>
    </row>
    <row r="355" spans="1:8" ht="19.899999999999999" hidden="1" customHeight="1">
      <c r="A355" s="14" t="s">
        <v>1429</v>
      </c>
      <c r="B355" s="14" t="s">
        <v>1452</v>
      </c>
      <c r="C355" s="14" t="s">
        <v>1453</v>
      </c>
      <c r="D355" s="16"/>
      <c r="E355" s="15"/>
      <c r="F355" s="14"/>
      <c r="G355" s="14" t="s">
        <v>383</v>
      </c>
      <c r="H355" s="14" t="s">
        <v>783</v>
      </c>
    </row>
    <row r="356" spans="1:8" ht="19.899999999999999" hidden="1" customHeight="1">
      <c r="A356" s="14" t="s">
        <v>1429</v>
      </c>
      <c r="B356" s="14" t="s">
        <v>1454</v>
      </c>
      <c r="C356" s="14" t="s">
        <v>1455</v>
      </c>
      <c r="D356" s="16"/>
      <c r="E356" s="15"/>
      <c r="F356" s="14"/>
      <c r="G356" s="14" t="s">
        <v>441</v>
      </c>
      <c r="H356" s="14" t="s">
        <v>783</v>
      </c>
    </row>
    <row r="357" spans="1:8" ht="43.5" hidden="1" customHeight="1">
      <c r="A357" s="14" t="s">
        <v>1429</v>
      </c>
      <c r="B357" s="14" t="s">
        <v>1456</v>
      </c>
      <c r="C357" s="14" t="s">
        <v>1457</v>
      </c>
      <c r="D357" s="16"/>
      <c r="E357" s="15"/>
      <c r="F357" s="14"/>
      <c r="G357" s="14" t="s">
        <v>290</v>
      </c>
      <c r="H357" s="14" t="s">
        <v>783</v>
      </c>
    </row>
    <row r="358" spans="1:8" ht="19.899999999999999" hidden="1" customHeight="1">
      <c r="A358" s="14" t="s">
        <v>1429</v>
      </c>
      <c r="B358" s="14" t="s">
        <v>1458</v>
      </c>
      <c r="C358" s="14" t="s">
        <v>1459</v>
      </c>
      <c r="D358" s="16"/>
      <c r="E358" s="15"/>
      <c r="F358" s="14"/>
      <c r="G358" s="14" t="s">
        <v>571</v>
      </c>
      <c r="H358" s="14" t="s">
        <v>783</v>
      </c>
    </row>
    <row r="359" spans="1:8" ht="19.899999999999999" hidden="1" customHeight="1">
      <c r="A359" s="14" t="s">
        <v>1429</v>
      </c>
      <c r="B359" s="14" t="s">
        <v>1460</v>
      </c>
      <c r="C359" s="14" t="s">
        <v>1461</v>
      </c>
      <c r="D359" s="16"/>
      <c r="E359" s="15"/>
      <c r="F359" s="14"/>
      <c r="G359" s="14" t="s">
        <v>290</v>
      </c>
      <c r="H359" s="14" t="s">
        <v>783</v>
      </c>
    </row>
    <row r="360" spans="1:8" ht="19.899999999999999" hidden="1" customHeight="1">
      <c r="A360" s="14" t="s">
        <v>1429</v>
      </c>
      <c r="B360" s="14" t="s">
        <v>1462</v>
      </c>
      <c r="C360" s="14" t="s">
        <v>1463</v>
      </c>
      <c r="D360" s="16"/>
      <c r="E360" s="15"/>
      <c r="F360" s="14"/>
      <c r="G360" s="14" t="s">
        <v>441</v>
      </c>
      <c r="H360" s="14" t="s">
        <v>783</v>
      </c>
    </row>
    <row r="361" spans="1:8" ht="28.9" hidden="1" customHeight="1">
      <c r="A361" s="14" t="s">
        <v>1429</v>
      </c>
      <c r="B361" s="14" t="s">
        <v>1464</v>
      </c>
      <c r="C361" s="14" t="s">
        <v>1465</v>
      </c>
      <c r="D361" s="16"/>
      <c r="E361" s="15"/>
      <c r="F361" s="14"/>
      <c r="G361" s="14" t="s">
        <v>383</v>
      </c>
      <c r="H361" s="14" t="s">
        <v>783</v>
      </c>
    </row>
    <row r="362" spans="1:8" ht="19.899999999999999" hidden="1" customHeight="1">
      <c r="A362" s="14" t="s">
        <v>1429</v>
      </c>
      <c r="B362" s="14" t="s">
        <v>1466</v>
      </c>
      <c r="C362" s="14"/>
      <c r="D362" s="16"/>
      <c r="E362" s="15"/>
      <c r="F362" s="14"/>
      <c r="G362" s="14" t="s">
        <v>290</v>
      </c>
      <c r="H362" s="14" t="s">
        <v>783</v>
      </c>
    </row>
    <row r="363" spans="1:8" ht="19.899999999999999" hidden="1" customHeight="1">
      <c r="A363" s="14" t="s">
        <v>1429</v>
      </c>
      <c r="B363" s="14" t="s">
        <v>1467</v>
      </c>
      <c r="C363" s="14"/>
      <c r="D363" s="16"/>
      <c r="E363" s="15"/>
      <c r="F363" s="14"/>
      <c r="G363" s="14" t="s">
        <v>383</v>
      </c>
      <c r="H363" s="14" t="s">
        <v>783</v>
      </c>
    </row>
    <row r="364" spans="1:8" ht="19.899999999999999" hidden="1" customHeight="1">
      <c r="A364" s="14" t="s">
        <v>1429</v>
      </c>
      <c r="B364" s="14" t="s">
        <v>1468</v>
      </c>
      <c r="C364" s="14"/>
      <c r="D364" s="16"/>
      <c r="E364" s="15"/>
      <c r="F364" s="14"/>
      <c r="G364" s="14" t="s">
        <v>383</v>
      </c>
      <c r="H364" s="14" t="s">
        <v>783</v>
      </c>
    </row>
    <row r="365" spans="1:8" ht="19.899999999999999" hidden="1" customHeight="1">
      <c r="A365" s="14" t="s">
        <v>1429</v>
      </c>
      <c r="B365" s="14" t="s">
        <v>1469</v>
      </c>
      <c r="C365" s="14" t="s">
        <v>1470</v>
      </c>
      <c r="D365" s="16"/>
      <c r="E365" s="15"/>
      <c r="F365" s="14"/>
      <c r="G365" s="14" t="s">
        <v>416</v>
      </c>
      <c r="H365" s="14" t="s">
        <v>783</v>
      </c>
    </row>
    <row r="366" spans="1:8" ht="19.899999999999999" hidden="1" customHeight="1">
      <c r="A366" s="14" t="s">
        <v>1471</v>
      </c>
      <c r="B366" s="14" t="s">
        <v>1472</v>
      </c>
      <c r="C366" s="14" t="s">
        <v>1473</v>
      </c>
      <c r="D366" s="16">
        <v>0</v>
      </c>
      <c r="E366" s="15">
        <v>0</v>
      </c>
      <c r="F366" s="14"/>
      <c r="G366" s="14" t="s">
        <v>416</v>
      </c>
      <c r="H366" s="14" t="s">
        <v>783</v>
      </c>
    </row>
    <row r="367" spans="1:8" ht="19.899999999999999" hidden="1" customHeight="1">
      <c r="A367" s="14" t="s">
        <v>1471</v>
      </c>
      <c r="B367" s="14" t="s">
        <v>1474</v>
      </c>
      <c r="C367" s="14" t="s">
        <v>1475</v>
      </c>
      <c r="D367" s="16">
        <v>0</v>
      </c>
      <c r="E367" s="15">
        <v>0</v>
      </c>
      <c r="F367" s="14"/>
      <c r="G367" s="14" t="s">
        <v>416</v>
      </c>
      <c r="H367" s="14" t="s">
        <v>783</v>
      </c>
    </row>
    <row r="368" spans="1:8" ht="19.899999999999999" hidden="1" customHeight="1">
      <c r="A368" s="14" t="s">
        <v>1471</v>
      </c>
      <c r="B368" s="14" t="s">
        <v>1476</v>
      </c>
      <c r="C368" s="14"/>
      <c r="D368" s="16"/>
      <c r="E368" s="15"/>
      <c r="F368" s="14"/>
      <c r="G368" s="14" t="s">
        <v>383</v>
      </c>
      <c r="H368" s="14" t="s">
        <v>783</v>
      </c>
    </row>
    <row r="369" spans="1:8" ht="19.899999999999999" hidden="1" customHeight="1">
      <c r="A369" s="14" t="s">
        <v>1471</v>
      </c>
      <c r="B369" s="14" t="s">
        <v>1477</v>
      </c>
      <c r="C369" s="14" t="s">
        <v>1478</v>
      </c>
      <c r="D369" s="16">
        <v>0</v>
      </c>
      <c r="E369" s="15">
        <v>0</v>
      </c>
      <c r="F369" s="14"/>
      <c r="G369" s="14" t="s">
        <v>416</v>
      </c>
      <c r="H369" s="14" t="s">
        <v>783</v>
      </c>
    </row>
    <row r="370" spans="1:8" ht="19.899999999999999" hidden="1" customHeight="1">
      <c r="A370" s="14" t="s">
        <v>1471</v>
      </c>
      <c r="B370" s="14" t="s">
        <v>1479</v>
      </c>
      <c r="C370" s="14" t="s">
        <v>1480</v>
      </c>
      <c r="D370" s="16">
        <v>0</v>
      </c>
      <c r="E370" s="15">
        <v>0</v>
      </c>
      <c r="F370" s="14"/>
      <c r="G370" s="14" t="s">
        <v>416</v>
      </c>
      <c r="H370" s="14" t="s">
        <v>783</v>
      </c>
    </row>
    <row r="371" spans="1:8" ht="19.899999999999999" hidden="1" customHeight="1">
      <c r="A371" s="14" t="s">
        <v>1471</v>
      </c>
      <c r="B371" s="14" t="s">
        <v>1481</v>
      </c>
      <c r="C371" s="14" t="s">
        <v>1482</v>
      </c>
      <c r="D371" s="16">
        <v>0</v>
      </c>
      <c r="E371" s="15">
        <v>0</v>
      </c>
      <c r="F371" s="14"/>
      <c r="G371" s="14" t="s">
        <v>416</v>
      </c>
      <c r="H371" s="14" t="s">
        <v>783</v>
      </c>
    </row>
    <row r="372" spans="1:8" ht="19.899999999999999" hidden="1" customHeight="1">
      <c r="A372" s="14" t="s">
        <v>1471</v>
      </c>
      <c r="B372" s="14" t="s">
        <v>1483</v>
      </c>
      <c r="C372" s="14" t="s">
        <v>1484</v>
      </c>
      <c r="D372" s="16">
        <v>0</v>
      </c>
      <c r="E372" s="15">
        <v>0</v>
      </c>
      <c r="F372" s="14"/>
      <c r="G372" s="14" t="s">
        <v>416</v>
      </c>
      <c r="H372" s="14" t="s">
        <v>783</v>
      </c>
    </row>
    <row r="373" spans="1:8" ht="28.9" hidden="1" customHeight="1">
      <c r="A373" s="14" t="s">
        <v>1485</v>
      </c>
      <c r="B373" s="14" t="s">
        <v>1486</v>
      </c>
      <c r="C373" s="14"/>
      <c r="D373" s="16"/>
      <c r="E373" s="15">
        <v>96</v>
      </c>
      <c r="F373" s="14" t="s">
        <v>1487</v>
      </c>
      <c r="G373" s="14" t="s">
        <v>383</v>
      </c>
      <c r="H373" s="14" t="s">
        <v>783</v>
      </c>
    </row>
    <row r="374" spans="1:8" ht="19.899999999999999" hidden="1" customHeight="1">
      <c r="A374" s="14" t="s">
        <v>1485</v>
      </c>
      <c r="B374" s="14" t="s">
        <v>1488</v>
      </c>
      <c r="C374" s="14"/>
      <c r="D374" s="16"/>
      <c r="E374" s="15"/>
      <c r="F374" s="14"/>
      <c r="G374" s="14" t="s">
        <v>290</v>
      </c>
      <c r="H374" s="14" t="s">
        <v>783</v>
      </c>
    </row>
    <row r="375" spans="1:8" ht="19.899999999999999" hidden="1" customHeight="1">
      <c r="A375" s="14" t="s">
        <v>1485</v>
      </c>
      <c r="B375" s="14" t="s">
        <v>841</v>
      </c>
      <c r="C375" s="14"/>
      <c r="D375" s="16"/>
      <c r="E375" s="15"/>
      <c r="F375" s="14"/>
      <c r="G375" s="14" t="s">
        <v>290</v>
      </c>
      <c r="H375" s="14" t="s">
        <v>783</v>
      </c>
    </row>
    <row r="376" spans="1:8" ht="19.899999999999999" hidden="1" customHeight="1">
      <c r="A376" s="14" t="s">
        <v>1485</v>
      </c>
      <c r="B376" s="14" t="s">
        <v>1489</v>
      </c>
      <c r="C376" s="14"/>
      <c r="D376" s="16"/>
      <c r="E376" s="15"/>
      <c r="F376" s="14"/>
      <c r="G376" s="14" t="s">
        <v>290</v>
      </c>
      <c r="H376" s="14" t="s">
        <v>783</v>
      </c>
    </row>
    <row r="377" spans="1:8" ht="19.899999999999999" hidden="1" customHeight="1">
      <c r="A377" s="14" t="s">
        <v>1485</v>
      </c>
      <c r="B377" s="14" t="s">
        <v>1490</v>
      </c>
      <c r="C377" s="14" t="s">
        <v>1491</v>
      </c>
      <c r="D377" s="16">
        <v>25200</v>
      </c>
      <c r="E377" s="15">
        <v>144</v>
      </c>
      <c r="F377" s="14"/>
      <c r="G377" s="14" t="s">
        <v>290</v>
      </c>
      <c r="H377" s="14" t="s">
        <v>783</v>
      </c>
    </row>
    <row r="378" spans="1:8" ht="19.899999999999999" hidden="1" customHeight="1">
      <c r="A378" s="14" t="s">
        <v>1485</v>
      </c>
      <c r="B378" s="14" t="s">
        <v>1492</v>
      </c>
      <c r="C378" s="14"/>
      <c r="D378" s="16"/>
      <c r="E378" s="15"/>
      <c r="F378" s="14"/>
      <c r="G378" s="14" t="s">
        <v>290</v>
      </c>
      <c r="H378" s="14" t="s">
        <v>783</v>
      </c>
    </row>
    <row r="379" spans="1:8" ht="19.899999999999999" hidden="1" customHeight="1">
      <c r="A379" s="14" t="s">
        <v>1493</v>
      </c>
      <c r="B379" s="14" t="s">
        <v>1494</v>
      </c>
      <c r="C379" s="14"/>
      <c r="D379" s="16"/>
      <c r="E379" s="15"/>
      <c r="F379" s="14"/>
      <c r="G379" s="14" t="s">
        <v>290</v>
      </c>
      <c r="H379" s="14" t="s">
        <v>783</v>
      </c>
    </row>
    <row r="380" spans="1:8" ht="19.899999999999999" hidden="1" customHeight="1">
      <c r="A380" s="14" t="s">
        <v>1493</v>
      </c>
      <c r="B380" s="14" t="s">
        <v>1495</v>
      </c>
      <c r="C380" s="14"/>
      <c r="D380" s="16">
        <v>6000</v>
      </c>
      <c r="E380" s="15">
        <v>30</v>
      </c>
      <c r="F380" s="14"/>
      <c r="G380" s="14" t="s">
        <v>290</v>
      </c>
      <c r="H380" s="14" t="s">
        <v>783</v>
      </c>
    </row>
    <row r="381" spans="1:8" ht="19.899999999999999" hidden="1" customHeight="1">
      <c r="A381" s="14" t="s">
        <v>1493</v>
      </c>
      <c r="B381" s="14" t="s">
        <v>1496</v>
      </c>
      <c r="C381" s="14"/>
      <c r="D381" s="16">
        <v>1710</v>
      </c>
      <c r="E381" s="15">
        <v>10</v>
      </c>
      <c r="F381" s="14"/>
      <c r="G381" s="14" t="s">
        <v>441</v>
      </c>
      <c r="H381" s="14" t="s">
        <v>783</v>
      </c>
    </row>
    <row r="382" spans="1:8" ht="19.899999999999999" customHeight="1">
      <c r="A382" s="14" t="s">
        <v>229</v>
      </c>
      <c r="B382" s="14" t="s">
        <v>1497</v>
      </c>
      <c r="C382" s="14" t="s">
        <v>1498</v>
      </c>
      <c r="D382" s="16"/>
      <c r="E382" s="15"/>
      <c r="F382" s="14"/>
      <c r="G382" s="14" t="s">
        <v>290</v>
      </c>
      <c r="H382" s="14" t="s">
        <v>801</v>
      </c>
    </row>
    <row r="383" spans="1:8" ht="28.9" customHeight="1">
      <c r="A383" s="14" t="s">
        <v>229</v>
      </c>
      <c r="B383" s="14" t="s">
        <v>1020</v>
      </c>
      <c r="C383" s="14" t="s">
        <v>1499</v>
      </c>
      <c r="D383" s="16">
        <v>133000</v>
      </c>
      <c r="E383" s="15"/>
      <c r="F383" s="14"/>
      <c r="G383" s="14" t="s">
        <v>290</v>
      </c>
      <c r="H383" s="14" t="s">
        <v>801</v>
      </c>
    </row>
    <row r="384" spans="1:8" ht="19.899999999999999" hidden="1" customHeight="1">
      <c r="A384" s="14" t="s">
        <v>229</v>
      </c>
      <c r="B384" s="14" t="s">
        <v>1500</v>
      </c>
      <c r="C384" s="14" t="s">
        <v>1501</v>
      </c>
      <c r="D384" s="16">
        <v>88400</v>
      </c>
      <c r="E384" s="15">
        <v>520</v>
      </c>
      <c r="F384" s="14"/>
      <c r="G384" s="14" t="s">
        <v>290</v>
      </c>
      <c r="H384" s="14" t="s">
        <v>783</v>
      </c>
    </row>
    <row r="385" spans="1:8" ht="19.899999999999999" hidden="1" customHeight="1">
      <c r="A385" s="14" t="s">
        <v>229</v>
      </c>
      <c r="B385" s="14" t="s">
        <v>1502</v>
      </c>
      <c r="C385" s="14"/>
      <c r="D385" s="16"/>
      <c r="E385" s="15"/>
      <c r="F385" s="14"/>
      <c r="G385" s="14" t="s">
        <v>571</v>
      </c>
      <c r="H385" s="14" t="s">
        <v>783</v>
      </c>
    </row>
    <row r="386" spans="1:8" ht="19.899999999999999" hidden="1" customHeight="1">
      <c r="A386" s="14" t="s">
        <v>229</v>
      </c>
      <c r="B386" s="14" t="s">
        <v>1503</v>
      </c>
      <c r="C386" s="14"/>
      <c r="D386" s="16">
        <v>163200</v>
      </c>
      <c r="E386" s="15">
        <v>480</v>
      </c>
      <c r="F386" s="14"/>
      <c r="G386" s="14" t="s">
        <v>290</v>
      </c>
      <c r="H386" s="14" t="s">
        <v>783</v>
      </c>
    </row>
    <row r="387" spans="1:8" ht="19.899999999999999" customHeight="1">
      <c r="A387" s="14" t="s">
        <v>229</v>
      </c>
      <c r="B387" s="14" t="s">
        <v>1504</v>
      </c>
      <c r="C387" s="14"/>
      <c r="D387" s="16"/>
      <c r="E387" s="15"/>
      <c r="F387" s="14"/>
      <c r="G387" s="14" t="s">
        <v>290</v>
      </c>
      <c r="H387" s="14" t="s">
        <v>801</v>
      </c>
    </row>
    <row r="388" spans="1:8" ht="19.899999999999999" customHeight="1">
      <c r="A388" s="14" t="s">
        <v>229</v>
      </c>
      <c r="B388" s="14" t="s">
        <v>1505</v>
      </c>
      <c r="C388" s="14"/>
      <c r="D388" s="16"/>
      <c r="E388" s="15"/>
      <c r="F388" s="14"/>
      <c r="G388" s="14" t="s">
        <v>571</v>
      </c>
      <c r="H388" s="14" t="s">
        <v>801</v>
      </c>
    </row>
    <row r="389" spans="1:8" ht="43.5" customHeight="1">
      <c r="A389" s="14" t="s">
        <v>229</v>
      </c>
      <c r="B389" s="14" t="s">
        <v>1506</v>
      </c>
      <c r="C389" s="14" t="s">
        <v>1507</v>
      </c>
      <c r="D389" s="16">
        <v>884000</v>
      </c>
      <c r="E389" s="15">
        <v>1040</v>
      </c>
      <c r="F389" s="14"/>
      <c r="G389" s="14" t="s">
        <v>290</v>
      </c>
      <c r="H389" s="14" t="s">
        <v>801</v>
      </c>
    </row>
    <row r="390" spans="1:8" ht="43.5" hidden="1" customHeight="1">
      <c r="A390" s="14" t="s">
        <v>230</v>
      </c>
      <c r="B390" s="14" t="s">
        <v>1508</v>
      </c>
      <c r="C390" s="14" t="s">
        <v>1509</v>
      </c>
      <c r="D390" s="16">
        <v>39200</v>
      </c>
      <c r="E390" s="15"/>
      <c r="F390" s="14"/>
      <c r="G390" s="14" t="s">
        <v>290</v>
      </c>
      <c r="H390" s="14" t="s">
        <v>783</v>
      </c>
    </row>
    <row r="391" spans="1:8" ht="43.5" hidden="1" customHeight="1">
      <c r="A391" s="14" t="s">
        <v>230</v>
      </c>
      <c r="B391" s="14" t="s">
        <v>1510</v>
      </c>
      <c r="C391" s="14" t="s">
        <v>1511</v>
      </c>
      <c r="D391" s="16">
        <v>79800</v>
      </c>
      <c r="E391" s="15"/>
      <c r="F391" s="14"/>
      <c r="G391" s="14" t="s">
        <v>383</v>
      </c>
      <c r="H391" s="14" t="s">
        <v>783</v>
      </c>
    </row>
    <row r="392" spans="1:8" ht="43.5" hidden="1" customHeight="1">
      <c r="A392" s="14" t="s">
        <v>230</v>
      </c>
      <c r="B392" s="14" t="s">
        <v>1512</v>
      </c>
      <c r="C392" s="14" t="s">
        <v>1513</v>
      </c>
      <c r="D392" s="16">
        <v>29575</v>
      </c>
      <c r="E392" s="15"/>
      <c r="F392" s="14"/>
      <c r="G392" s="14" t="s">
        <v>441</v>
      </c>
      <c r="H392" s="14" t="s">
        <v>783</v>
      </c>
    </row>
    <row r="393" spans="1:8" ht="19.899999999999999" hidden="1" customHeight="1">
      <c r="A393" s="14" t="s">
        <v>230</v>
      </c>
      <c r="B393" s="14" t="s">
        <v>1514</v>
      </c>
      <c r="C393" s="14"/>
      <c r="D393" s="16">
        <v>38850</v>
      </c>
      <c r="E393" s="15">
        <v>222</v>
      </c>
      <c r="F393" s="14"/>
      <c r="G393" s="14" t="s">
        <v>290</v>
      </c>
      <c r="H393" s="14" t="s">
        <v>783</v>
      </c>
    </row>
    <row r="394" spans="1:8" ht="19.899999999999999" customHeight="1">
      <c r="A394" s="14" t="s">
        <v>230</v>
      </c>
      <c r="B394" s="14" t="s">
        <v>1515</v>
      </c>
      <c r="C394" s="14"/>
      <c r="D394" s="16"/>
      <c r="E394" s="15"/>
      <c r="F394" s="14"/>
      <c r="G394" s="14" t="s">
        <v>290</v>
      </c>
      <c r="H394" s="14" t="s">
        <v>801</v>
      </c>
    </row>
    <row r="395" spans="1:8" ht="19.899999999999999" hidden="1" customHeight="1">
      <c r="A395" s="14" t="s">
        <v>1516</v>
      </c>
      <c r="B395" s="14" t="s">
        <v>976</v>
      </c>
      <c r="C395" s="14"/>
      <c r="D395" s="16"/>
      <c r="E395" s="15"/>
      <c r="F395" s="14"/>
      <c r="G395" s="14" t="s">
        <v>441</v>
      </c>
      <c r="H395" s="14" t="s">
        <v>783</v>
      </c>
    </row>
    <row r="396" spans="1:8" ht="19.899999999999999" hidden="1" customHeight="1">
      <c r="A396" s="14" t="s">
        <v>1516</v>
      </c>
      <c r="B396" s="14" t="s">
        <v>1517</v>
      </c>
      <c r="C396" s="14"/>
      <c r="D396" s="16"/>
      <c r="E396" s="15"/>
      <c r="F396" s="14"/>
      <c r="G396" s="14" t="s">
        <v>441</v>
      </c>
      <c r="H396" s="14" t="s">
        <v>783</v>
      </c>
    </row>
    <row r="397" spans="1:8" ht="19.899999999999999" hidden="1" customHeight="1">
      <c r="A397" s="14" t="s">
        <v>1516</v>
      </c>
      <c r="B397" s="14" t="s">
        <v>1518</v>
      </c>
      <c r="C397" s="14"/>
      <c r="D397" s="16"/>
      <c r="E397" s="15"/>
      <c r="F397" s="14"/>
      <c r="G397" s="14" t="s">
        <v>441</v>
      </c>
      <c r="H397" s="14" t="s">
        <v>783</v>
      </c>
    </row>
    <row r="398" spans="1:8" ht="19.899999999999999" hidden="1" customHeight="1">
      <c r="A398" s="14" t="s">
        <v>1519</v>
      </c>
      <c r="B398" s="14" t="s">
        <v>1520</v>
      </c>
      <c r="C398" s="14" t="s">
        <v>1521</v>
      </c>
      <c r="D398" s="16">
        <v>67400</v>
      </c>
      <c r="E398" s="15"/>
      <c r="F398" s="14" t="s">
        <v>1522</v>
      </c>
      <c r="G398" s="14" t="s">
        <v>571</v>
      </c>
      <c r="H398" s="14" t="s">
        <v>783</v>
      </c>
    </row>
    <row r="399" spans="1:8" ht="43.5" hidden="1" customHeight="1">
      <c r="A399" s="14" t="s">
        <v>1519</v>
      </c>
      <c r="B399" s="14" t="s">
        <v>1523</v>
      </c>
      <c r="C399" s="14" t="s">
        <v>1524</v>
      </c>
      <c r="D399" s="16">
        <v>67200</v>
      </c>
      <c r="E399" s="15">
        <v>384</v>
      </c>
      <c r="F399" s="14"/>
      <c r="G399" s="14" t="s">
        <v>383</v>
      </c>
      <c r="H399" s="14" t="s">
        <v>783</v>
      </c>
    </row>
    <row r="400" spans="1:8" ht="19.899999999999999" hidden="1" customHeight="1">
      <c r="A400" s="14" t="s">
        <v>1519</v>
      </c>
      <c r="B400" s="14" t="s">
        <v>1525</v>
      </c>
      <c r="C400" s="14"/>
      <c r="D400" s="16">
        <v>15000</v>
      </c>
      <c r="E400" s="15">
        <v>94</v>
      </c>
      <c r="F400" s="14"/>
      <c r="G400" s="14" t="s">
        <v>290</v>
      </c>
      <c r="H400" s="14" t="s">
        <v>783</v>
      </c>
    </row>
    <row r="401" spans="1:8" ht="72.400000000000006" hidden="1" customHeight="1">
      <c r="A401" s="14" t="s">
        <v>1526</v>
      </c>
      <c r="B401" s="14" t="s">
        <v>1527</v>
      </c>
      <c r="C401" s="14" t="s">
        <v>1528</v>
      </c>
      <c r="D401" s="16">
        <v>10000</v>
      </c>
      <c r="E401" s="15">
        <v>100</v>
      </c>
      <c r="F401" s="14" t="s">
        <v>1529</v>
      </c>
      <c r="G401" s="14" t="s">
        <v>571</v>
      </c>
      <c r="H401" s="14" t="s">
        <v>783</v>
      </c>
    </row>
  </sheetData>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dimension ref="A1:A127"/>
  <sheetViews>
    <sheetView workbookViewId="0">
      <selection activeCell="L10" sqref="L10"/>
    </sheetView>
  </sheetViews>
  <sheetFormatPr defaultRowHeight="15"/>
  <cols>
    <col min="1" max="1" width="41.7109375" bestFit="1" customWidth="1"/>
  </cols>
  <sheetData>
    <row r="1" spans="1:1">
      <c r="A1" s="12" t="s">
        <v>1530</v>
      </c>
    </row>
    <row r="2" spans="1:1">
      <c r="A2" t="s">
        <v>780</v>
      </c>
    </row>
    <row r="3" spans="1:1">
      <c r="A3" t="s">
        <v>789</v>
      </c>
    </row>
    <row r="4" spans="1:1">
      <c r="A4" t="s">
        <v>825</v>
      </c>
    </row>
    <row r="5" spans="1:1">
      <c r="A5" t="s">
        <v>311</v>
      </c>
    </row>
    <row r="6" spans="1:1">
      <c r="A6" t="s">
        <v>833</v>
      </c>
    </row>
    <row r="7" spans="1:1">
      <c r="A7" t="s">
        <v>835</v>
      </c>
    </row>
    <row r="8" spans="1:1">
      <c r="A8" t="s">
        <v>837</v>
      </c>
    </row>
    <row r="9" spans="1:1">
      <c r="A9" t="s">
        <v>842</v>
      </c>
    </row>
    <row r="10" spans="1:1">
      <c r="A10" t="s">
        <v>847</v>
      </c>
    </row>
    <row r="11" spans="1:1">
      <c r="A11" t="s">
        <v>850</v>
      </c>
    </row>
    <row r="12" spans="1:1">
      <c r="A12" t="s">
        <v>853</v>
      </c>
    </row>
    <row r="13" spans="1:1">
      <c r="A13" t="s">
        <v>75</v>
      </c>
    </row>
    <row r="14" spans="1:1">
      <c r="A14" t="s">
        <v>870</v>
      </c>
    </row>
    <row r="15" spans="1:1">
      <c r="A15" t="s">
        <v>354</v>
      </c>
    </row>
    <row r="16" spans="1:1">
      <c r="A16" t="s">
        <v>874</v>
      </c>
    </row>
    <row r="17" spans="1:1">
      <c r="A17" t="s">
        <v>878</v>
      </c>
    </row>
    <row r="18" spans="1:1">
      <c r="A18" t="s">
        <v>96</v>
      </c>
    </row>
    <row r="19" spans="1:1">
      <c r="A19" t="s">
        <v>889</v>
      </c>
    </row>
    <row r="20" spans="1:1">
      <c r="A20" t="s">
        <v>891</v>
      </c>
    </row>
    <row r="21" spans="1:1">
      <c r="A21" t="s">
        <v>620</v>
      </c>
    </row>
    <row r="22" spans="1:1">
      <c r="A22" t="s">
        <v>901</v>
      </c>
    </row>
    <row r="23" spans="1:1">
      <c r="A23" t="s">
        <v>905</v>
      </c>
    </row>
    <row r="24" spans="1:1">
      <c r="A24" t="s">
        <v>909</v>
      </c>
    </row>
    <row r="25" spans="1:1">
      <c r="A25" t="s">
        <v>912</v>
      </c>
    </row>
    <row r="26" spans="1:1">
      <c r="A26" t="s">
        <v>649</v>
      </c>
    </row>
    <row r="27" spans="1:1">
      <c r="A27" t="s">
        <v>99</v>
      </c>
    </row>
    <row r="28" spans="1:1">
      <c r="A28" t="s">
        <v>923</v>
      </c>
    </row>
    <row r="29" spans="1:1">
      <c r="A29" t="s">
        <v>926</v>
      </c>
    </row>
    <row r="30" spans="1:1">
      <c r="A30" t="s">
        <v>928</v>
      </c>
    </row>
    <row r="31" spans="1:1">
      <c r="A31" t="s">
        <v>384</v>
      </c>
    </row>
    <row r="32" spans="1:1">
      <c r="A32" t="s">
        <v>950</v>
      </c>
    </row>
    <row r="33" spans="1:1">
      <c r="A33" t="s">
        <v>102</v>
      </c>
    </row>
    <row r="34" spans="1:1">
      <c r="A34" t="s">
        <v>412</v>
      </c>
    </row>
    <row r="35" spans="1:1">
      <c r="A35" t="s">
        <v>111</v>
      </c>
    </row>
    <row r="36" spans="1:1">
      <c r="A36" t="s">
        <v>981</v>
      </c>
    </row>
    <row r="37" spans="1:1">
      <c r="A37" t="s">
        <v>109</v>
      </c>
    </row>
    <row r="38" spans="1:1">
      <c r="A38" t="s">
        <v>1531</v>
      </c>
    </row>
    <row r="39" spans="1:1">
      <c r="A39" t="s">
        <v>984</v>
      </c>
    </row>
    <row r="40" spans="1:1">
      <c r="A40" t="s">
        <v>987</v>
      </c>
    </row>
    <row r="41" spans="1:1">
      <c r="A41" t="s">
        <v>992</v>
      </c>
    </row>
    <row r="42" spans="1:1">
      <c r="A42" t="s">
        <v>995</v>
      </c>
    </row>
    <row r="43" spans="1:1">
      <c r="A43" t="s">
        <v>120</v>
      </c>
    </row>
    <row r="44" spans="1:1">
      <c r="A44" t="s">
        <v>1001</v>
      </c>
    </row>
    <row r="45" spans="1:1">
      <c r="A45" t="s">
        <v>1004</v>
      </c>
    </row>
    <row r="46" spans="1:1">
      <c r="A46" t="s">
        <v>137</v>
      </c>
    </row>
    <row r="47" spans="1:1">
      <c r="A47" t="s">
        <v>1008</v>
      </c>
    </row>
    <row r="48" spans="1:1">
      <c r="A48" t="s">
        <v>1011</v>
      </c>
    </row>
    <row r="49" spans="1:1">
      <c r="A49" t="s">
        <v>126</v>
      </c>
    </row>
    <row r="50" spans="1:1">
      <c r="A50" t="s">
        <v>1046</v>
      </c>
    </row>
    <row r="51" spans="1:1">
      <c r="A51" t="s">
        <v>127</v>
      </c>
    </row>
    <row r="52" spans="1:1">
      <c r="A52" t="s">
        <v>138</v>
      </c>
    </row>
    <row r="53" spans="1:1">
      <c r="A53" t="s">
        <v>143</v>
      </c>
    </row>
    <row r="54" spans="1:1">
      <c r="A54" t="s">
        <v>1058</v>
      </c>
    </row>
    <row r="55" spans="1:1">
      <c r="A55" t="s">
        <v>1061</v>
      </c>
    </row>
    <row r="56" spans="1:1">
      <c r="A56" t="s">
        <v>1064</v>
      </c>
    </row>
    <row r="57" spans="1:1">
      <c r="A57" t="s">
        <v>1066</v>
      </c>
    </row>
    <row r="58" spans="1:1">
      <c r="A58" t="s">
        <v>151</v>
      </c>
    </row>
    <row r="59" spans="1:1">
      <c r="A59" t="s">
        <v>1072</v>
      </c>
    </row>
    <row r="60" spans="1:1">
      <c r="A60" t="s">
        <v>1075</v>
      </c>
    </row>
    <row r="61" spans="1:1">
      <c r="A61" t="s">
        <v>1080</v>
      </c>
    </row>
    <row r="62" spans="1:1">
      <c r="A62" t="s">
        <v>152</v>
      </c>
    </row>
    <row r="63" spans="1:1">
      <c r="A63" t="s">
        <v>1086</v>
      </c>
    </row>
    <row r="64" spans="1:1">
      <c r="A64" t="s">
        <v>156</v>
      </c>
    </row>
    <row r="65" spans="1:1">
      <c r="A65" t="s">
        <v>157</v>
      </c>
    </row>
    <row r="66" spans="1:1">
      <c r="A66" t="s">
        <v>1099</v>
      </c>
    </row>
    <row r="67" spans="1:1">
      <c r="A67" t="s">
        <v>1102</v>
      </c>
    </row>
    <row r="68" spans="1:1">
      <c r="A68" t="s">
        <v>1105</v>
      </c>
    </row>
    <row r="69" spans="1:1">
      <c r="A69" t="s">
        <v>160</v>
      </c>
    </row>
    <row r="70" spans="1:1">
      <c r="A70" t="s">
        <v>1116</v>
      </c>
    </row>
    <row r="71" spans="1:1">
      <c r="A71" t="s">
        <v>166</v>
      </c>
    </row>
    <row r="72" spans="1:1">
      <c r="A72" t="s">
        <v>171</v>
      </c>
    </row>
    <row r="73" spans="1:1">
      <c r="A73" t="s">
        <v>172</v>
      </c>
    </row>
    <row r="74" spans="1:1">
      <c r="A74" t="s">
        <v>1130</v>
      </c>
    </row>
    <row r="75" spans="1:1">
      <c r="A75" t="s">
        <v>684</v>
      </c>
    </row>
    <row r="76" spans="1:1">
      <c r="A76" t="s">
        <v>1138</v>
      </c>
    </row>
    <row r="77" spans="1:1">
      <c r="A77" t="s">
        <v>1141</v>
      </c>
    </row>
    <row r="78" spans="1:1">
      <c r="A78" t="s">
        <v>1143</v>
      </c>
    </row>
    <row r="79" spans="1:1">
      <c r="A79" t="s">
        <v>1146</v>
      </c>
    </row>
    <row r="80" spans="1:1">
      <c r="A80" t="s">
        <v>1149</v>
      </c>
    </row>
    <row r="81" spans="1:1">
      <c r="A81" t="s">
        <v>178</v>
      </c>
    </row>
    <row r="82" spans="1:1">
      <c r="A82" t="s">
        <v>183</v>
      </c>
    </row>
    <row r="83" spans="1:1">
      <c r="A83" t="s">
        <v>1157</v>
      </c>
    </row>
    <row r="84" spans="1:1">
      <c r="A84" t="s">
        <v>1160</v>
      </c>
    </row>
    <row r="85" spans="1:1">
      <c r="A85" t="s">
        <v>1165</v>
      </c>
    </row>
    <row r="86" spans="1:1">
      <c r="A86" t="s">
        <v>190</v>
      </c>
    </row>
    <row r="87" spans="1:1">
      <c r="A87" t="s">
        <v>688</v>
      </c>
    </row>
    <row r="88" spans="1:1">
      <c r="A88" t="s">
        <v>655</v>
      </c>
    </row>
    <row r="89" spans="1:1">
      <c r="A89" t="s">
        <v>1220</v>
      </c>
    </row>
    <row r="90" spans="1:1">
      <c r="A90" t="s">
        <v>1222</v>
      </c>
    </row>
    <row r="91" spans="1:1">
      <c r="A91" t="s">
        <v>1225</v>
      </c>
    </row>
    <row r="92" spans="1:1">
      <c r="A92" t="s">
        <v>222</v>
      </c>
    </row>
    <row r="93" spans="1:1">
      <c r="A93" t="s">
        <v>1271</v>
      </c>
    </row>
    <row r="94" spans="1:1">
      <c r="A94" t="s">
        <v>533</v>
      </c>
    </row>
    <row r="95" spans="1:1">
      <c r="A95" t="s">
        <v>1275</v>
      </c>
    </row>
    <row r="96" spans="1:1">
      <c r="A96" t="s">
        <v>1278</v>
      </c>
    </row>
    <row r="97" spans="1:1">
      <c r="A97" t="s">
        <v>534</v>
      </c>
    </row>
    <row r="98" spans="1:1">
      <c r="A98" t="s">
        <v>210</v>
      </c>
    </row>
    <row r="99" spans="1:1">
      <c r="A99" t="s">
        <v>1289</v>
      </c>
    </row>
    <row r="100" spans="1:1">
      <c r="A100" t="s">
        <v>1291</v>
      </c>
    </row>
    <row r="101" spans="1:1">
      <c r="A101" t="s">
        <v>1300</v>
      </c>
    </row>
    <row r="102" spans="1:1">
      <c r="A102" t="s">
        <v>1303</v>
      </c>
    </row>
    <row r="103" spans="1:1">
      <c r="A103" t="s">
        <v>1318</v>
      </c>
    </row>
    <row r="104" spans="1:1">
      <c r="A104" t="s">
        <v>1324</v>
      </c>
    </row>
    <row r="105" spans="1:1">
      <c r="A105" t="s">
        <v>1327</v>
      </c>
    </row>
    <row r="106" spans="1:1">
      <c r="A106" t="s">
        <v>1329</v>
      </c>
    </row>
    <row r="107" spans="1:1">
      <c r="A107" t="s">
        <v>1333</v>
      </c>
    </row>
    <row r="108" spans="1:1">
      <c r="A108" t="s">
        <v>553</v>
      </c>
    </row>
    <row r="109" spans="1:1">
      <c r="A109" t="s">
        <v>224</v>
      </c>
    </row>
    <row r="110" spans="1:1">
      <c r="A110" t="s">
        <v>659</v>
      </c>
    </row>
    <row r="111" spans="1:1">
      <c r="A111" t="s">
        <v>228</v>
      </c>
    </row>
    <row r="112" spans="1:1">
      <c r="A112" t="s">
        <v>1352</v>
      </c>
    </row>
    <row r="113" spans="1:1">
      <c r="A113" t="s">
        <v>1355</v>
      </c>
    </row>
    <row r="114" spans="1:1">
      <c r="A114" t="s">
        <v>1355</v>
      </c>
    </row>
    <row r="115" spans="1:1">
      <c r="A115" t="s">
        <v>1363</v>
      </c>
    </row>
    <row r="116" spans="1:1">
      <c r="A116" t="s">
        <v>1366</v>
      </c>
    </row>
    <row r="117" spans="1:1">
      <c r="A117" t="s">
        <v>1412</v>
      </c>
    </row>
    <row r="118" spans="1:1">
      <c r="A118" t="s">
        <v>1422</v>
      </c>
    </row>
    <row r="119" spans="1:1">
      <c r="A119" t="s">
        <v>1429</v>
      </c>
    </row>
    <row r="120" spans="1:1">
      <c r="A120" t="s">
        <v>1471</v>
      </c>
    </row>
    <row r="121" spans="1:1">
      <c r="A121" t="s">
        <v>1485</v>
      </c>
    </row>
    <row r="122" spans="1:1">
      <c r="A122" t="s">
        <v>1493</v>
      </c>
    </row>
    <row r="123" spans="1:1">
      <c r="A123" t="s">
        <v>229</v>
      </c>
    </row>
    <row r="124" spans="1:1">
      <c r="A124" t="s">
        <v>230</v>
      </c>
    </row>
    <row r="125" spans="1:1">
      <c r="A125" t="s">
        <v>1516</v>
      </c>
    </row>
    <row r="126" spans="1:1">
      <c r="A126" t="s">
        <v>1519</v>
      </c>
    </row>
    <row r="127" spans="1:1">
      <c r="A127" t="s">
        <v>1526</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pageSetUpPr fitToPage="1"/>
  </sheetPr>
  <dimension ref="A1:I333"/>
  <sheetViews>
    <sheetView zoomScale="80" zoomScaleNormal="80" workbookViewId="0">
      <selection activeCell="A12" sqref="A12"/>
    </sheetView>
  </sheetViews>
  <sheetFormatPr defaultRowHeight="15"/>
  <cols>
    <col min="1" max="1" width="69.42578125" bestFit="1" customWidth="1"/>
    <col min="2" max="2" width="11.28515625" bestFit="1" customWidth="1"/>
    <col min="3" max="3" width="40" bestFit="1" customWidth="1"/>
    <col min="4" max="4" width="76.7109375" bestFit="1" customWidth="1"/>
    <col min="5" max="5" width="24.7109375" bestFit="1" customWidth="1"/>
    <col min="6" max="7" width="24.7109375" customWidth="1"/>
    <col min="8" max="9" width="139.7109375" bestFit="1" customWidth="1"/>
    <col min="10" max="10" width="69.28515625" customWidth="1"/>
  </cols>
  <sheetData>
    <row r="1" spans="1:9" s="6" customFormat="1">
      <c r="A1" s="6" t="s">
        <v>1532</v>
      </c>
      <c r="B1" s="6" t="s">
        <v>4</v>
      </c>
      <c r="C1" s="6" t="s">
        <v>1533</v>
      </c>
      <c r="D1" s="6" t="s">
        <v>1534</v>
      </c>
      <c r="E1" s="6" t="s">
        <v>1535</v>
      </c>
      <c r="F1" s="6" t="s">
        <v>1536</v>
      </c>
      <c r="G1" s="6" t="s">
        <v>1537</v>
      </c>
      <c r="H1" s="6" t="s">
        <v>1538</v>
      </c>
      <c r="I1" s="6" t="s">
        <v>1539</v>
      </c>
    </row>
    <row r="2" spans="1:9">
      <c r="A2" t="s">
        <v>1540</v>
      </c>
      <c r="B2" t="s">
        <v>42</v>
      </c>
      <c r="C2" s="7"/>
      <c r="D2" t="s">
        <v>1541</v>
      </c>
      <c r="E2" t="s">
        <v>1542</v>
      </c>
      <c r="H2" t="s">
        <v>1543</v>
      </c>
      <c r="I2" s="7"/>
    </row>
    <row r="3" spans="1:9">
      <c r="A3" t="s">
        <v>1544</v>
      </c>
      <c r="B3" t="s">
        <v>42</v>
      </c>
      <c r="C3" s="7"/>
      <c r="D3" t="s">
        <v>1545</v>
      </c>
      <c r="E3" s="7"/>
      <c r="F3" s="7" t="s">
        <v>1546</v>
      </c>
      <c r="G3" s="7"/>
      <c r="H3" t="s">
        <v>1547</v>
      </c>
      <c r="I3" t="s">
        <v>1547</v>
      </c>
    </row>
    <row r="4" spans="1:9">
      <c r="A4" t="s">
        <v>41</v>
      </c>
      <c r="B4" t="s">
        <v>51</v>
      </c>
      <c r="C4" t="s">
        <v>1548</v>
      </c>
      <c r="D4" t="s">
        <v>1549</v>
      </c>
      <c r="E4" s="7"/>
      <c r="F4" s="7" t="s">
        <v>1550</v>
      </c>
      <c r="G4" s="7"/>
      <c r="H4" t="s">
        <v>1551</v>
      </c>
      <c r="I4" t="s">
        <v>1551</v>
      </c>
    </row>
    <row r="5" spans="1:9">
      <c r="A5" t="s">
        <v>55</v>
      </c>
      <c r="B5" t="s">
        <v>42</v>
      </c>
      <c r="C5" s="7"/>
      <c r="D5" t="s">
        <v>1552</v>
      </c>
      <c r="E5" s="7"/>
      <c r="F5" s="7" t="s">
        <v>1553</v>
      </c>
      <c r="G5" s="7"/>
      <c r="H5" t="s">
        <v>1554</v>
      </c>
      <c r="I5" t="s">
        <v>1554</v>
      </c>
    </row>
    <row r="6" spans="1:9">
      <c r="A6" t="s">
        <v>311</v>
      </c>
      <c r="B6" t="s">
        <v>42</v>
      </c>
      <c r="C6" t="s">
        <v>1555</v>
      </c>
      <c r="D6" t="s">
        <v>1552</v>
      </c>
      <c r="E6" s="7"/>
      <c r="F6" s="7" t="s">
        <v>1556</v>
      </c>
      <c r="G6" s="7" t="s">
        <v>1557</v>
      </c>
      <c r="H6" t="s">
        <v>1558</v>
      </c>
      <c r="I6" t="s">
        <v>1558</v>
      </c>
    </row>
    <row r="7" spans="1:9" s="10" customFormat="1">
      <c r="A7" s="10" t="s">
        <v>833</v>
      </c>
      <c r="B7" s="10" t="s">
        <v>51</v>
      </c>
      <c r="C7" s="11"/>
      <c r="D7" s="10" t="s">
        <v>1559</v>
      </c>
      <c r="E7" s="10" t="s">
        <v>833</v>
      </c>
      <c r="H7" s="10" t="s">
        <v>1560</v>
      </c>
      <c r="I7" s="10" t="s">
        <v>1560</v>
      </c>
    </row>
    <row r="8" spans="1:9" s="10" customFormat="1">
      <c r="A8" s="10" t="s">
        <v>833</v>
      </c>
      <c r="B8" s="10" t="s">
        <v>42</v>
      </c>
      <c r="C8" s="10" t="s">
        <v>1561</v>
      </c>
      <c r="D8" s="10" t="s">
        <v>1562</v>
      </c>
      <c r="E8" s="10" t="s">
        <v>1563</v>
      </c>
      <c r="H8" s="10" t="s">
        <v>1564</v>
      </c>
      <c r="I8" s="10" t="s">
        <v>1564</v>
      </c>
    </row>
    <row r="9" spans="1:9" s="10" customFormat="1">
      <c r="A9" s="10" t="s">
        <v>1565</v>
      </c>
      <c r="B9" s="10" t="s">
        <v>42</v>
      </c>
      <c r="C9" s="11"/>
      <c r="D9" s="10" t="s">
        <v>1566</v>
      </c>
      <c r="E9" s="10" t="s">
        <v>1567</v>
      </c>
      <c r="H9" s="10" t="s">
        <v>1568</v>
      </c>
      <c r="I9" s="11"/>
    </row>
    <row r="10" spans="1:9">
      <c r="A10" t="s">
        <v>1569</v>
      </c>
      <c r="B10" t="s">
        <v>51</v>
      </c>
      <c r="C10" s="7"/>
      <c r="D10" t="s">
        <v>1570</v>
      </c>
      <c r="E10" s="7"/>
      <c r="F10" s="7" t="s">
        <v>1571</v>
      </c>
      <c r="G10" s="7"/>
      <c r="H10" t="s">
        <v>1572</v>
      </c>
      <c r="I10" t="s">
        <v>1572</v>
      </c>
    </row>
    <row r="11" spans="1:9">
      <c r="A11" t="s">
        <v>59</v>
      </c>
      <c r="B11" t="s">
        <v>42</v>
      </c>
      <c r="C11" s="7"/>
      <c r="D11" t="s">
        <v>1573</v>
      </c>
      <c r="E11" s="7"/>
      <c r="F11" s="7" t="s">
        <v>1574</v>
      </c>
      <c r="G11" s="7"/>
      <c r="H11" t="s">
        <v>1575</v>
      </c>
      <c r="I11" s="7"/>
    </row>
    <row r="12" spans="1:9">
      <c r="A12" t="s">
        <v>842</v>
      </c>
      <c r="B12" t="s">
        <v>42</v>
      </c>
      <c r="C12" s="7"/>
      <c r="D12" t="s">
        <v>1576</v>
      </c>
      <c r="E12" s="7"/>
      <c r="F12" s="7"/>
      <c r="G12" s="7"/>
      <c r="H12" t="s">
        <v>1577</v>
      </c>
      <c r="I12" t="s">
        <v>1577</v>
      </c>
    </row>
    <row r="13" spans="1:9">
      <c r="A13" t="s">
        <v>1578</v>
      </c>
      <c r="B13" t="s">
        <v>51</v>
      </c>
      <c r="C13" s="7"/>
      <c r="D13" t="s">
        <v>1579</v>
      </c>
      <c r="E13" s="7"/>
      <c r="F13" s="7"/>
      <c r="G13" s="7"/>
      <c r="H13" t="s">
        <v>1580</v>
      </c>
      <c r="I13" t="s">
        <v>1580</v>
      </c>
    </row>
    <row r="14" spans="1:9">
      <c r="A14" t="s">
        <v>847</v>
      </c>
      <c r="B14" t="s">
        <v>42</v>
      </c>
      <c r="C14" s="7"/>
      <c r="D14" t="s">
        <v>1552</v>
      </c>
      <c r="E14" s="7"/>
      <c r="F14" s="7"/>
      <c r="G14" s="7"/>
      <c r="H14" t="s">
        <v>1581</v>
      </c>
      <c r="I14" t="s">
        <v>1581</v>
      </c>
    </row>
    <row r="15" spans="1:9">
      <c r="A15" t="s">
        <v>1582</v>
      </c>
      <c r="B15" t="s">
        <v>42</v>
      </c>
      <c r="C15" t="s">
        <v>1583</v>
      </c>
      <c r="D15" t="s">
        <v>1552</v>
      </c>
      <c r="E15" s="7"/>
      <c r="F15" s="7"/>
      <c r="G15" s="7"/>
      <c r="H15" t="s">
        <v>1584</v>
      </c>
      <c r="I15" t="s">
        <v>1584</v>
      </c>
    </row>
    <row r="16" spans="1:9">
      <c r="A16" t="s">
        <v>1585</v>
      </c>
      <c r="B16" t="s">
        <v>42</v>
      </c>
      <c r="C16" s="7"/>
      <c r="D16" t="s">
        <v>1552</v>
      </c>
      <c r="E16" s="7"/>
      <c r="F16" s="7"/>
      <c r="G16" s="7"/>
      <c r="H16" t="s">
        <v>1586</v>
      </c>
      <c r="I16" t="s">
        <v>1586</v>
      </c>
    </row>
    <row r="17" spans="1:9">
      <c r="A17" t="s">
        <v>1587</v>
      </c>
      <c r="B17" t="s">
        <v>42</v>
      </c>
      <c r="C17" t="s">
        <v>1588</v>
      </c>
      <c r="D17" t="s">
        <v>1589</v>
      </c>
      <c r="E17" s="7"/>
      <c r="F17" s="7"/>
      <c r="G17" s="7"/>
      <c r="H17" t="s">
        <v>1590</v>
      </c>
      <c r="I17" s="7"/>
    </row>
    <row r="18" spans="1:9">
      <c r="A18" t="s">
        <v>1591</v>
      </c>
      <c r="B18" t="s">
        <v>42</v>
      </c>
      <c r="C18" s="7"/>
      <c r="D18" t="s">
        <v>1592</v>
      </c>
      <c r="E18" t="s">
        <v>1593</v>
      </c>
      <c r="H18" t="s">
        <v>1594</v>
      </c>
      <c r="I18" t="s">
        <v>1594</v>
      </c>
    </row>
    <row r="19" spans="1:9">
      <c r="A19" t="s">
        <v>1595</v>
      </c>
      <c r="B19" t="s">
        <v>42</v>
      </c>
      <c r="C19" s="7"/>
      <c r="D19" s="7"/>
      <c r="E19" t="s">
        <v>1596</v>
      </c>
      <c r="H19" t="s">
        <v>1597</v>
      </c>
      <c r="I19" s="7"/>
    </row>
    <row r="20" spans="1:9">
      <c r="A20" t="s">
        <v>1598</v>
      </c>
      <c r="B20" t="s">
        <v>42</v>
      </c>
      <c r="C20" s="7"/>
      <c r="D20" t="s">
        <v>1541</v>
      </c>
      <c r="E20" t="s">
        <v>1596</v>
      </c>
      <c r="H20" t="s">
        <v>1599</v>
      </c>
      <c r="I20" s="7"/>
    </row>
    <row r="21" spans="1:9">
      <c r="A21" t="s">
        <v>1600</v>
      </c>
      <c r="B21" t="s">
        <v>51</v>
      </c>
      <c r="C21" s="7"/>
      <c r="D21" s="7"/>
      <c r="E21" s="7"/>
      <c r="F21" s="7"/>
      <c r="G21" s="7"/>
      <c r="H21" t="s">
        <v>1601</v>
      </c>
      <c r="I21" t="s">
        <v>1601</v>
      </c>
    </row>
    <row r="22" spans="1:9">
      <c r="A22" t="s">
        <v>1602</v>
      </c>
      <c r="B22" t="s">
        <v>42</v>
      </c>
      <c r="C22" s="7"/>
      <c r="D22" t="s">
        <v>1603</v>
      </c>
      <c r="E22" s="7"/>
      <c r="F22" s="7"/>
      <c r="G22" s="7"/>
      <c r="H22" t="s">
        <v>1604</v>
      </c>
      <c r="I22" t="s">
        <v>1604</v>
      </c>
    </row>
    <row r="23" spans="1:9">
      <c r="A23" t="s">
        <v>1605</v>
      </c>
      <c r="B23" t="s">
        <v>51</v>
      </c>
      <c r="C23" s="7"/>
      <c r="D23" t="s">
        <v>1606</v>
      </c>
      <c r="E23" s="7"/>
      <c r="F23" s="7"/>
      <c r="G23" s="7"/>
      <c r="H23" t="s">
        <v>1607</v>
      </c>
      <c r="I23" t="s">
        <v>1607</v>
      </c>
    </row>
    <row r="24" spans="1:9">
      <c r="A24" t="s">
        <v>1608</v>
      </c>
      <c r="B24" t="s">
        <v>42</v>
      </c>
      <c r="C24" t="s">
        <v>1609</v>
      </c>
      <c r="D24" t="s">
        <v>1610</v>
      </c>
      <c r="E24" s="7"/>
      <c r="F24" s="7"/>
      <c r="G24" s="7"/>
      <c r="H24" t="s">
        <v>1611</v>
      </c>
      <c r="I24" s="7"/>
    </row>
    <row r="25" spans="1:9">
      <c r="A25" t="s">
        <v>1612</v>
      </c>
      <c r="B25" t="s">
        <v>51</v>
      </c>
      <c r="C25" s="7"/>
      <c r="D25" t="s">
        <v>1613</v>
      </c>
      <c r="E25" s="7"/>
      <c r="F25" s="7"/>
      <c r="G25" s="7"/>
      <c r="H25" t="s">
        <v>1614</v>
      </c>
      <c r="I25" t="s">
        <v>1614</v>
      </c>
    </row>
    <row r="26" spans="1:9">
      <c r="A26" t="s">
        <v>870</v>
      </c>
      <c r="B26" t="s">
        <v>42</v>
      </c>
      <c r="C26" t="s">
        <v>1615</v>
      </c>
      <c r="D26" t="s">
        <v>1616</v>
      </c>
      <c r="E26" t="s">
        <v>1617</v>
      </c>
      <c r="H26" t="s">
        <v>1618</v>
      </c>
      <c r="I26" t="s">
        <v>1618</v>
      </c>
    </row>
    <row r="27" spans="1:9">
      <c r="A27" t="s">
        <v>1619</v>
      </c>
      <c r="B27" t="s">
        <v>42</v>
      </c>
      <c r="C27" t="s">
        <v>1620</v>
      </c>
      <c r="D27" t="s">
        <v>1621</v>
      </c>
      <c r="E27" t="s">
        <v>75</v>
      </c>
      <c r="H27" t="s">
        <v>1622</v>
      </c>
      <c r="I27" t="s">
        <v>1622</v>
      </c>
    </row>
    <row r="28" spans="1:9">
      <c r="A28" t="s">
        <v>1623</v>
      </c>
      <c r="B28" t="s">
        <v>42</v>
      </c>
      <c r="C28" t="s">
        <v>1624</v>
      </c>
      <c r="D28" t="s">
        <v>1625</v>
      </c>
      <c r="E28" s="7"/>
      <c r="F28" s="7"/>
      <c r="G28" s="7"/>
      <c r="H28" t="s">
        <v>1626</v>
      </c>
      <c r="I28" t="s">
        <v>1626</v>
      </c>
    </row>
    <row r="29" spans="1:9">
      <c r="A29" t="s">
        <v>1627</v>
      </c>
      <c r="B29" t="s">
        <v>42</v>
      </c>
      <c r="C29" s="7"/>
      <c r="D29" t="s">
        <v>1628</v>
      </c>
      <c r="E29" s="7"/>
      <c r="F29" s="7"/>
      <c r="G29" s="7"/>
      <c r="H29" t="s">
        <v>1629</v>
      </c>
      <c r="I29" t="s">
        <v>1629</v>
      </c>
    </row>
    <row r="30" spans="1:9">
      <c r="A30" t="s">
        <v>1630</v>
      </c>
      <c r="B30" t="s">
        <v>42</v>
      </c>
      <c r="C30" s="7"/>
      <c r="D30" t="s">
        <v>1631</v>
      </c>
      <c r="E30" t="s">
        <v>1632</v>
      </c>
      <c r="H30" t="s">
        <v>1633</v>
      </c>
      <c r="I30" s="7"/>
    </row>
    <row r="31" spans="1:9">
      <c r="A31" t="s">
        <v>1634</v>
      </c>
      <c r="B31" t="s">
        <v>42</v>
      </c>
      <c r="C31" t="s">
        <v>1635</v>
      </c>
      <c r="D31" t="s">
        <v>1552</v>
      </c>
      <c r="E31" s="7"/>
      <c r="F31" s="7"/>
      <c r="G31" s="7"/>
      <c r="H31" t="s">
        <v>1636</v>
      </c>
      <c r="I31" t="s">
        <v>1636</v>
      </c>
    </row>
    <row r="32" spans="1:9">
      <c r="A32" t="s">
        <v>620</v>
      </c>
      <c r="B32" t="s">
        <v>51</v>
      </c>
      <c r="C32" s="7"/>
      <c r="D32" t="s">
        <v>1637</v>
      </c>
      <c r="E32" s="7"/>
      <c r="F32" s="7"/>
      <c r="G32" s="7"/>
      <c r="H32" t="s">
        <v>1638</v>
      </c>
      <c r="I32" t="s">
        <v>1638</v>
      </c>
    </row>
    <row r="33" spans="1:9">
      <c r="A33" t="s">
        <v>620</v>
      </c>
      <c r="B33" t="s">
        <v>42</v>
      </c>
      <c r="C33" s="7"/>
      <c r="D33" t="s">
        <v>1637</v>
      </c>
      <c r="E33" s="7"/>
      <c r="F33" s="7"/>
      <c r="G33" s="7"/>
      <c r="H33" t="s">
        <v>1639</v>
      </c>
      <c r="I33" s="7"/>
    </row>
    <row r="34" spans="1:9">
      <c r="A34" t="s">
        <v>1640</v>
      </c>
      <c r="B34" t="s">
        <v>42</v>
      </c>
      <c r="C34" s="7"/>
      <c r="D34" t="s">
        <v>1641</v>
      </c>
      <c r="E34" s="7"/>
      <c r="F34" s="7"/>
      <c r="G34" s="7"/>
      <c r="H34" t="s">
        <v>1642</v>
      </c>
      <c r="I34" t="s">
        <v>1642</v>
      </c>
    </row>
    <row r="35" spans="1:9">
      <c r="A35" t="s">
        <v>1643</v>
      </c>
      <c r="B35" t="s">
        <v>42</v>
      </c>
      <c r="C35" s="7"/>
      <c r="D35" s="7"/>
      <c r="E35" t="s">
        <v>1596</v>
      </c>
      <c r="H35" t="s">
        <v>1644</v>
      </c>
      <c r="I35" t="s">
        <v>1644</v>
      </c>
    </row>
    <row r="36" spans="1:9">
      <c r="A36" t="s">
        <v>1645</v>
      </c>
      <c r="B36" t="s">
        <v>42</v>
      </c>
      <c r="C36" t="s">
        <v>1646</v>
      </c>
      <c r="D36" t="s">
        <v>1647</v>
      </c>
      <c r="E36" s="7"/>
      <c r="F36" s="7"/>
      <c r="G36" s="7"/>
      <c r="H36" t="s">
        <v>1648</v>
      </c>
      <c r="I36" t="s">
        <v>1648</v>
      </c>
    </row>
    <row r="37" spans="1:9">
      <c r="A37" t="s">
        <v>1649</v>
      </c>
      <c r="B37" t="s">
        <v>42</v>
      </c>
      <c r="C37" s="7"/>
      <c r="D37" t="s">
        <v>1650</v>
      </c>
      <c r="E37" s="7"/>
      <c r="F37" s="7"/>
      <c r="G37" s="7"/>
      <c r="H37" t="s">
        <v>1651</v>
      </c>
      <c r="I37" t="s">
        <v>1651</v>
      </c>
    </row>
    <row r="38" spans="1:9">
      <c r="A38" t="s">
        <v>905</v>
      </c>
      <c r="B38" t="s">
        <v>42</v>
      </c>
      <c r="C38" s="7"/>
      <c r="D38" t="s">
        <v>1652</v>
      </c>
      <c r="E38" s="7"/>
      <c r="F38" s="7"/>
      <c r="G38" s="7"/>
      <c r="H38" t="s">
        <v>1653</v>
      </c>
      <c r="I38" t="s">
        <v>1653</v>
      </c>
    </row>
    <row r="39" spans="1:9">
      <c r="A39" t="s">
        <v>909</v>
      </c>
      <c r="B39" t="s">
        <v>42</v>
      </c>
      <c r="C39" s="7"/>
      <c r="D39" t="s">
        <v>1654</v>
      </c>
      <c r="E39" s="7"/>
      <c r="F39" s="7"/>
      <c r="G39" s="7"/>
      <c r="H39" t="s">
        <v>1655</v>
      </c>
      <c r="I39" t="s">
        <v>1655</v>
      </c>
    </row>
    <row r="40" spans="1:9">
      <c r="A40" t="s">
        <v>912</v>
      </c>
      <c r="B40" t="s">
        <v>42</v>
      </c>
      <c r="C40" s="7"/>
      <c r="D40" t="s">
        <v>1656</v>
      </c>
      <c r="E40" t="s">
        <v>1596</v>
      </c>
      <c r="H40" t="s">
        <v>1657</v>
      </c>
      <c r="I40" s="7"/>
    </row>
    <row r="41" spans="1:9">
      <c r="A41" t="s">
        <v>96</v>
      </c>
      <c r="B41" t="s">
        <v>51</v>
      </c>
      <c r="C41" s="7"/>
      <c r="D41" t="s">
        <v>1658</v>
      </c>
      <c r="E41" t="s">
        <v>1596</v>
      </c>
      <c r="H41" t="s">
        <v>1659</v>
      </c>
      <c r="I41" t="s">
        <v>1659</v>
      </c>
    </row>
    <row r="42" spans="1:9">
      <c r="A42" t="s">
        <v>96</v>
      </c>
      <c r="B42" t="s">
        <v>42</v>
      </c>
      <c r="C42" s="7"/>
      <c r="D42" t="s">
        <v>1541</v>
      </c>
      <c r="E42" t="s">
        <v>1596</v>
      </c>
      <c r="H42" t="s">
        <v>1660</v>
      </c>
      <c r="I42" t="s">
        <v>1660</v>
      </c>
    </row>
    <row r="43" spans="1:9">
      <c r="A43" t="s">
        <v>649</v>
      </c>
      <c r="B43" t="s">
        <v>42</v>
      </c>
      <c r="C43" s="7"/>
      <c r="D43" t="s">
        <v>1589</v>
      </c>
      <c r="E43" s="7"/>
      <c r="F43" s="7"/>
      <c r="G43" s="7"/>
      <c r="H43" t="s">
        <v>1661</v>
      </c>
      <c r="I43" s="7"/>
    </row>
    <row r="44" spans="1:9">
      <c r="A44" t="s">
        <v>1662</v>
      </c>
      <c r="B44" t="s">
        <v>42</v>
      </c>
      <c r="C44" s="7"/>
      <c r="D44" t="s">
        <v>1663</v>
      </c>
      <c r="E44" t="s">
        <v>1664</v>
      </c>
      <c r="H44" t="s">
        <v>1665</v>
      </c>
      <c r="I44" s="7"/>
    </row>
    <row r="45" spans="1:9">
      <c r="A45" t="s">
        <v>99</v>
      </c>
      <c r="B45" t="s">
        <v>42</v>
      </c>
      <c r="C45" s="7"/>
      <c r="D45" t="s">
        <v>1666</v>
      </c>
      <c r="E45" s="7"/>
      <c r="F45" s="7"/>
      <c r="G45" s="7"/>
      <c r="H45" t="s">
        <v>1667</v>
      </c>
      <c r="I45" t="s">
        <v>1667</v>
      </c>
    </row>
    <row r="46" spans="1:9">
      <c r="A46" t="s">
        <v>1668</v>
      </c>
      <c r="B46" t="s">
        <v>42</v>
      </c>
      <c r="C46" s="7"/>
      <c r="D46" t="s">
        <v>1552</v>
      </c>
      <c r="E46" s="7"/>
      <c r="F46" s="7"/>
      <c r="G46" s="7"/>
      <c r="H46" t="s">
        <v>1669</v>
      </c>
      <c r="I46" t="s">
        <v>1669</v>
      </c>
    </row>
    <row r="47" spans="1:9">
      <c r="A47" t="s">
        <v>1670</v>
      </c>
      <c r="B47" t="s">
        <v>42</v>
      </c>
      <c r="C47" t="s">
        <v>1671</v>
      </c>
      <c r="D47" t="s">
        <v>1672</v>
      </c>
      <c r="E47" t="s">
        <v>1673</v>
      </c>
      <c r="H47" t="s">
        <v>1674</v>
      </c>
      <c r="I47" t="s">
        <v>1674</v>
      </c>
    </row>
    <row r="48" spans="1:9">
      <c r="A48" t="s">
        <v>1675</v>
      </c>
      <c r="B48" t="s">
        <v>51</v>
      </c>
      <c r="C48" s="7"/>
      <c r="D48" t="s">
        <v>1676</v>
      </c>
      <c r="E48" s="7"/>
      <c r="F48" s="7"/>
      <c r="G48" s="7"/>
      <c r="H48" t="s">
        <v>1677</v>
      </c>
      <c r="I48" t="s">
        <v>1677</v>
      </c>
    </row>
    <row r="49" spans="1:9">
      <c r="A49" t="s">
        <v>1678</v>
      </c>
      <c r="B49" t="s">
        <v>42</v>
      </c>
      <c r="C49" s="7"/>
      <c r="D49" s="7"/>
      <c r="E49" t="s">
        <v>1679</v>
      </c>
      <c r="H49" t="s">
        <v>1680</v>
      </c>
      <c r="I49" t="s">
        <v>1680</v>
      </c>
    </row>
    <row r="50" spans="1:9">
      <c r="A50" t="s">
        <v>1681</v>
      </c>
      <c r="B50" t="s">
        <v>42</v>
      </c>
      <c r="C50" s="7"/>
      <c r="D50" t="s">
        <v>1552</v>
      </c>
      <c r="E50" s="7"/>
      <c r="F50" s="7"/>
      <c r="G50" s="7"/>
      <c r="H50" t="s">
        <v>1682</v>
      </c>
      <c r="I50" t="s">
        <v>1682</v>
      </c>
    </row>
    <row r="51" spans="1:9">
      <c r="A51" t="s">
        <v>1683</v>
      </c>
      <c r="B51" t="s">
        <v>42</v>
      </c>
      <c r="C51" s="7"/>
      <c r="D51" t="s">
        <v>1541</v>
      </c>
      <c r="E51" t="s">
        <v>1684</v>
      </c>
      <c r="H51" t="s">
        <v>1685</v>
      </c>
      <c r="I51" t="s">
        <v>1686</v>
      </c>
    </row>
    <row r="52" spans="1:9">
      <c r="A52" t="s">
        <v>926</v>
      </c>
      <c r="B52" t="s">
        <v>42</v>
      </c>
      <c r="C52" s="7"/>
      <c r="D52" t="s">
        <v>1656</v>
      </c>
      <c r="E52" s="7"/>
      <c r="F52" s="7"/>
      <c r="G52" s="7"/>
      <c r="H52" t="s">
        <v>1687</v>
      </c>
      <c r="I52" t="s">
        <v>1687</v>
      </c>
    </row>
    <row r="53" spans="1:9">
      <c r="A53" t="s">
        <v>1688</v>
      </c>
      <c r="B53" t="s">
        <v>42</v>
      </c>
      <c r="C53" s="7"/>
      <c r="D53" s="7"/>
      <c r="E53" t="s">
        <v>1596</v>
      </c>
      <c r="H53" t="s">
        <v>1689</v>
      </c>
      <c r="I53" t="s">
        <v>1689</v>
      </c>
    </row>
    <row r="54" spans="1:9">
      <c r="A54" t="s">
        <v>928</v>
      </c>
      <c r="B54" t="s">
        <v>42</v>
      </c>
      <c r="C54" t="s">
        <v>1690</v>
      </c>
      <c r="D54" t="s">
        <v>1552</v>
      </c>
      <c r="E54" t="s">
        <v>1691</v>
      </c>
      <c r="H54" t="s">
        <v>1692</v>
      </c>
      <c r="I54" t="s">
        <v>1692</v>
      </c>
    </row>
    <row r="55" spans="1:9">
      <c r="A55" t="s">
        <v>1693</v>
      </c>
      <c r="B55" t="s">
        <v>42</v>
      </c>
      <c r="C55" t="s">
        <v>1694</v>
      </c>
      <c r="D55" t="s">
        <v>1695</v>
      </c>
      <c r="E55" t="s">
        <v>1696</v>
      </c>
      <c r="H55" t="s">
        <v>1697</v>
      </c>
      <c r="I55" t="s">
        <v>1698</v>
      </c>
    </row>
    <row r="56" spans="1:9">
      <c r="A56" t="s">
        <v>1699</v>
      </c>
      <c r="B56" t="s">
        <v>51</v>
      </c>
      <c r="C56" s="7"/>
      <c r="D56" s="7"/>
      <c r="E56" s="7"/>
      <c r="F56" s="7"/>
      <c r="G56" s="7"/>
      <c r="H56" s="7"/>
      <c r="I56" s="7"/>
    </row>
    <row r="57" spans="1:9">
      <c r="A57" t="s">
        <v>1699</v>
      </c>
      <c r="B57" t="s">
        <v>42</v>
      </c>
      <c r="C57" s="7"/>
      <c r="D57" t="s">
        <v>1589</v>
      </c>
      <c r="E57" s="7"/>
      <c r="F57" s="7"/>
      <c r="G57" s="7"/>
      <c r="H57" t="s">
        <v>1700</v>
      </c>
      <c r="I57" s="7"/>
    </row>
    <row r="58" spans="1:9">
      <c r="A58" t="s">
        <v>1701</v>
      </c>
      <c r="B58" t="s">
        <v>42</v>
      </c>
      <c r="C58" t="s">
        <v>1702</v>
      </c>
      <c r="D58" t="s">
        <v>1552</v>
      </c>
      <c r="E58" s="7"/>
      <c r="F58" s="7"/>
      <c r="G58" s="7"/>
      <c r="H58" t="s">
        <v>1703</v>
      </c>
      <c r="I58" s="7"/>
    </row>
    <row r="59" spans="1:9">
      <c r="A59" t="s">
        <v>1704</v>
      </c>
      <c r="B59" t="s">
        <v>42</v>
      </c>
      <c r="C59" s="7"/>
      <c r="D59" s="7"/>
      <c r="E59" t="s">
        <v>1705</v>
      </c>
      <c r="H59" t="s">
        <v>1706</v>
      </c>
      <c r="I59" t="s">
        <v>1706</v>
      </c>
    </row>
    <row r="60" spans="1:9">
      <c r="A60" t="s">
        <v>1707</v>
      </c>
      <c r="B60" t="s">
        <v>42</v>
      </c>
      <c r="C60" s="7"/>
      <c r="D60" t="s">
        <v>1663</v>
      </c>
      <c r="E60" t="s">
        <v>1596</v>
      </c>
      <c r="H60" t="s">
        <v>1708</v>
      </c>
      <c r="I60" s="7"/>
    </row>
    <row r="61" spans="1:9">
      <c r="A61" t="s">
        <v>1709</v>
      </c>
      <c r="B61" t="s">
        <v>42</v>
      </c>
      <c r="C61" s="7"/>
      <c r="D61" s="7"/>
      <c r="E61" t="s">
        <v>1710</v>
      </c>
      <c r="H61" t="s">
        <v>1711</v>
      </c>
      <c r="I61" s="7"/>
    </row>
    <row r="62" spans="1:9">
      <c r="A62" t="s">
        <v>1712</v>
      </c>
      <c r="B62" t="s">
        <v>51</v>
      </c>
      <c r="C62" s="7"/>
      <c r="D62" s="7"/>
      <c r="E62" s="7"/>
      <c r="F62" s="7"/>
      <c r="G62" s="7"/>
      <c r="H62" t="s">
        <v>1713</v>
      </c>
      <c r="I62" t="s">
        <v>1713</v>
      </c>
    </row>
    <row r="63" spans="1:9">
      <c r="A63" t="s">
        <v>1714</v>
      </c>
      <c r="B63" t="s">
        <v>42</v>
      </c>
      <c r="C63" s="7"/>
      <c r="D63" t="s">
        <v>1715</v>
      </c>
      <c r="E63" t="s">
        <v>1716</v>
      </c>
      <c r="H63" s="7"/>
      <c r="I63" s="7"/>
    </row>
    <row r="64" spans="1:9">
      <c r="A64" t="s">
        <v>1717</v>
      </c>
      <c r="B64" t="s">
        <v>42</v>
      </c>
      <c r="C64" s="7"/>
      <c r="D64" s="7"/>
      <c r="E64" t="s">
        <v>1718</v>
      </c>
      <c r="H64" t="s">
        <v>1719</v>
      </c>
      <c r="I64" t="s">
        <v>1719</v>
      </c>
    </row>
    <row r="65" spans="1:9">
      <c r="A65" t="s">
        <v>1720</v>
      </c>
      <c r="B65" t="s">
        <v>42</v>
      </c>
      <c r="C65" t="s">
        <v>1721</v>
      </c>
      <c r="D65" t="s">
        <v>1541</v>
      </c>
      <c r="E65" t="s">
        <v>1720</v>
      </c>
      <c r="H65" t="s">
        <v>1722</v>
      </c>
      <c r="I65" t="s">
        <v>1722</v>
      </c>
    </row>
    <row r="66" spans="1:9">
      <c r="A66" t="s">
        <v>1723</v>
      </c>
      <c r="B66" t="s">
        <v>42</v>
      </c>
      <c r="C66" s="7"/>
      <c r="D66" t="s">
        <v>1724</v>
      </c>
      <c r="E66" s="7"/>
      <c r="F66" s="7"/>
      <c r="G66" s="7"/>
      <c r="H66" t="s">
        <v>1725</v>
      </c>
      <c r="I66" s="7"/>
    </row>
    <row r="67" spans="1:9">
      <c r="A67" t="s">
        <v>1726</v>
      </c>
      <c r="B67" t="s">
        <v>42</v>
      </c>
      <c r="C67" s="7"/>
      <c r="D67" t="s">
        <v>1656</v>
      </c>
      <c r="E67" s="7"/>
      <c r="F67" s="7"/>
      <c r="G67" s="7"/>
      <c r="H67" t="s">
        <v>1727</v>
      </c>
      <c r="I67" s="7"/>
    </row>
    <row r="68" spans="1:9">
      <c r="A68" t="s">
        <v>1728</v>
      </c>
      <c r="B68" t="s">
        <v>42</v>
      </c>
      <c r="C68" t="s">
        <v>1729</v>
      </c>
      <c r="D68" t="s">
        <v>1730</v>
      </c>
      <c r="E68" s="7"/>
      <c r="F68" s="7"/>
      <c r="G68" s="7"/>
      <c r="H68" t="s">
        <v>1731</v>
      </c>
      <c r="I68" t="s">
        <v>1731</v>
      </c>
    </row>
    <row r="69" spans="1:9">
      <c r="A69" t="s">
        <v>1732</v>
      </c>
      <c r="B69" t="s">
        <v>51</v>
      </c>
      <c r="C69" t="s">
        <v>1733</v>
      </c>
      <c r="D69" t="s">
        <v>1734</v>
      </c>
      <c r="E69" t="s">
        <v>1735</v>
      </c>
      <c r="H69" t="s">
        <v>1736</v>
      </c>
      <c r="I69" t="s">
        <v>1736</v>
      </c>
    </row>
    <row r="70" spans="1:9">
      <c r="A70" t="s">
        <v>1737</v>
      </c>
      <c r="B70" t="s">
        <v>42</v>
      </c>
      <c r="C70" s="7"/>
      <c r="D70" t="s">
        <v>1656</v>
      </c>
      <c r="E70" s="7"/>
      <c r="F70" s="7"/>
      <c r="G70" s="7"/>
      <c r="H70" t="s">
        <v>1738</v>
      </c>
      <c r="I70" t="s">
        <v>1738</v>
      </c>
    </row>
    <row r="71" spans="1:9">
      <c r="A71" t="s">
        <v>1739</v>
      </c>
      <c r="B71" t="s">
        <v>42</v>
      </c>
      <c r="C71" s="7"/>
      <c r="D71" t="s">
        <v>1656</v>
      </c>
      <c r="E71" s="7"/>
      <c r="F71" s="7"/>
      <c r="G71" s="7"/>
      <c r="H71" t="s">
        <v>1738</v>
      </c>
      <c r="I71" t="s">
        <v>1738</v>
      </c>
    </row>
    <row r="72" spans="1:9">
      <c r="A72" t="s">
        <v>107</v>
      </c>
      <c r="B72" t="s">
        <v>51</v>
      </c>
      <c r="C72" s="7"/>
      <c r="D72" s="7"/>
      <c r="E72" s="7"/>
      <c r="F72" s="7"/>
      <c r="G72" s="7"/>
      <c r="H72" t="s">
        <v>1740</v>
      </c>
      <c r="I72" t="s">
        <v>1740</v>
      </c>
    </row>
    <row r="73" spans="1:9">
      <c r="A73" t="s">
        <v>1741</v>
      </c>
      <c r="B73" t="s">
        <v>42</v>
      </c>
      <c r="C73" s="7"/>
      <c r="D73" s="7"/>
      <c r="E73" s="7"/>
      <c r="F73" s="7"/>
      <c r="G73" s="7"/>
      <c r="H73" s="7"/>
      <c r="I73" s="7"/>
    </row>
    <row r="74" spans="1:9">
      <c r="A74" t="s">
        <v>109</v>
      </c>
      <c r="B74" t="s">
        <v>51</v>
      </c>
      <c r="C74" s="7"/>
      <c r="D74" t="s">
        <v>1742</v>
      </c>
      <c r="E74" s="7"/>
      <c r="F74" s="7"/>
      <c r="G74" s="7"/>
      <c r="H74" t="s">
        <v>1743</v>
      </c>
      <c r="I74" t="s">
        <v>1743</v>
      </c>
    </row>
    <row r="75" spans="1:9">
      <c r="A75" t="s">
        <v>111</v>
      </c>
      <c r="B75" t="s">
        <v>42</v>
      </c>
      <c r="C75" s="7"/>
      <c r="D75" t="s">
        <v>1552</v>
      </c>
      <c r="E75" s="7"/>
      <c r="F75" s="7"/>
      <c r="G75" s="7"/>
      <c r="H75" t="s">
        <v>1744</v>
      </c>
      <c r="I75" t="s">
        <v>1744</v>
      </c>
    </row>
    <row r="76" spans="1:9">
      <c r="A76" t="s">
        <v>1745</v>
      </c>
      <c r="B76" t="s">
        <v>42</v>
      </c>
      <c r="C76" s="7"/>
      <c r="D76" s="7"/>
      <c r="E76" s="7"/>
      <c r="F76" s="7"/>
      <c r="G76" s="7"/>
      <c r="H76" t="s">
        <v>1746</v>
      </c>
      <c r="I76" t="s">
        <v>1746</v>
      </c>
    </row>
    <row r="77" spans="1:9">
      <c r="A77" t="s">
        <v>1747</v>
      </c>
      <c r="B77" t="s">
        <v>42</v>
      </c>
      <c r="C77" s="7"/>
      <c r="D77" t="s">
        <v>1748</v>
      </c>
      <c r="E77" s="7"/>
      <c r="F77" s="7"/>
      <c r="G77" s="7"/>
      <c r="H77" t="s">
        <v>1749</v>
      </c>
      <c r="I77" t="s">
        <v>1749</v>
      </c>
    </row>
    <row r="78" spans="1:9">
      <c r="A78" t="s">
        <v>984</v>
      </c>
      <c r="B78" t="s">
        <v>42</v>
      </c>
      <c r="C78" s="7"/>
      <c r="D78" t="s">
        <v>1750</v>
      </c>
      <c r="E78" s="7"/>
      <c r="F78" s="7"/>
      <c r="G78" s="7"/>
      <c r="H78" t="s">
        <v>1751</v>
      </c>
      <c r="I78" t="s">
        <v>1751</v>
      </c>
    </row>
    <row r="79" spans="1:9">
      <c r="A79" t="s">
        <v>1752</v>
      </c>
      <c r="B79" t="s">
        <v>42</v>
      </c>
      <c r="C79" s="7"/>
      <c r="D79" t="s">
        <v>1589</v>
      </c>
      <c r="E79" s="7"/>
      <c r="F79" s="7"/>
      <c r="G79" s="7"/>
      <c r="H79" t="s">
        <v>1753</v>
      </c>
      <c r="I79" s="7"/>
    </row>
    <row r="80" spans="1:9">
      <c r="A80" t="s">
        <v>1754</v>
      </c>
      <c r="B80" t="s">
        <v>42</v>
      </c>
      <c r="C80" s="7"/>
      <c r="D80" t="s">
        <v>1656</v>
      </c>
      <c r="E80" t="s">
        <v>1754</v>
      </c>
      <c r="H80" t="s">
        <v>1755</v>
      </c>
      <c r="I80" s="7"/>
    </row>
    <row r="81" spans="1:9">
      <c r="A81" t="s">
        <v>1756</v>
      </c>
      <c r="B81" t="s">
        <v>42</v>
      </c>
      <c r="C81" s="7"/>
      <c r="D81" t="s">
        <v>1757</v>
      </c>
      <c r="E81" s="7"/>
      <c r="F81" s="7"/>
      <c r="G81" s="7"/>
      <c r="H81" t="s">
        <v>1758</v>
      </c>
      <c r="I81" t="s">
        <v>1758</v>
      </c>
    </row>
    <row r="82" spans="1:9">
      <c r="A82" t="s">
        <v>1759</v>
      </c>
      <c r="B82" t="s">
        <v>42</v>
      </c>
      <c r="C82" s="7"/>
      <c r="D82" t="s">
        <v>1656</v>
      </c>
      <c r="E82" s="7"/>
      <c r="F82" s="7"/>
      <c r="G82" s="7"/>
      <c r="H82" t="s">
        <v>1760</v>
      </c>
      <c r="I82" t="s">
        <v>1760</v>
      </c>
    </row>
    <row r="83" spans="1:9">
      <c r="A83" t="s">
        <v>1761</v>
      </c>
      <c r="B83" t="s">
        <v>42</v>
      </c>
      <c r="C83" t="s">
        <v>1762</v>
      </c>
      <c r="D83" t="s">
        <v>1552</v>
      </c>
      <c r="E83" s="7"/>
      <c r="F83" s="7"/>
      <c r="G83" s="7"/>
      <c r="H83" t="s">
        <v>1763</v>
      </c>
      <c r="I83" t="s">
        <v>1763</v>
      </c>
    </row>
    <row r="84" spans="1:9">
      <c r="A84" t="s">
        <v>992</v>
      </c>
      <c r="B84" t="s">
        <v>42</v>
      </c>
      <c r="C84" s="7"/>
      <c r="D84" t="s">
        <v>1764</v>
      </c>
      <c r="E84" s="7"/>
      <c r="F84" s="7"/>
      <c r="G84" s="7"/>
      <c r="H84" t="s">
        <v>1765</v>
      </c>
      <c r="I84" t="s">
        <v>1765</v>
      </c>
    </row>
    <row r="85" spans="1:9">
      <c r="A85" t="s">
        <v>1766</v>
      </c>
      <c r="B85" t="s">
        <v>42</v>
      </c>
      <c r="C85" s="7"/>
      <c r="D85" t="s">
        <v>1589</v>
      </c>
      <c r="E85" t="s">
        <v>1766</v>
      </c>
      <c r="H85" t="s">
        <v>1767</v>
      </c>
      <c r="I85" t="s">
        <v>1767</v>
      </c>
    </row>
    <row r="86" spans="1:9">
      <c r="A86" t="s">
        <v>1768</v>
      </c>
      <c r="B86" t="s">
        <v>42</v>
      </c>
      <c r="C86" s="7"/>
      <c r="D86" t="s">
        <v>1769</v>
      </c>
      <c r="E86" s="7"/>
      <c r="F86" s="7"/>
      <c r="G86" s="7"/>
      <c r="H86" t="s">
        <v>1770</v>
      </c>
      <c r="I86" t="s">
        <v>1770</v>
      </c>
    </row>
    <row r="87" spans="1:9">
      <c r="A87" t="s">
        <v>1771</v>
      </c>
      <c r="B87" t="s">
        <v>42</v>
      </c>
      <c r="C87" s="7"/>
      <c r="D87" t="s">
        <v>1541</v>
      </c>
      <c r="E87" t="s">
        <v>1596</v>
      </c>
      <c r="H87" t="s">
        <v>1772</v>
      </c>
      <c r="I87" s="7"/>
    </row>
    <row r="88" spans="1:9">
      <c r="A88" t="s">
        <v>1773</v>
      </c>
      <c r="B88" t="s">
        <v>42</v>
      </c>
      <c r="C88" s="7"/>
      <c r="D88" s="7"/>
      <c r="E88" s="7"/>
      <c r="F88" s="7"/>
      <c r="G88" s="7"/>
      <c r="H88" t="s">
        <v>1774</v>
      </c>
      <c r="I88" t="s">
        <v>1774</v>
      </c>
    </row>
    <row r="89" spans="1:9">
      <c r="A89" t="s">
        <v>1775</v>
      </c>
      <c r="B89" t="s">
        <v>42</v>
      </c>
      <c r="C89" s="7"/>
      <c r="D89" t="s">
        <v>1631</v>
      </c>
      <c r="E89" t="s">
        <v>1776</v>
      </c>
      <c r="H89" t="s">
        <v>1777</v>
      </c>
      <c r="I89" s="7"/>
    </row>
    <row r="90" spans="1:9">
      <c r="A90" t="s">
        <v>126</v>
      </c>
      <c r="B90" t="s">
        <v>51</v>
      </c>
      <c r="C90" s="7"/>
      <c r="D90" t="s">
        <v>1778</v>
      </c>
      <c r="E90" s="7"/>
      <c r="F90" s="7"/>
      <c r="G90" s="7"/>
      <c r="H90" t="s">
        <v>1779</v>
      </c>
      <c r="I90" t="s">
        <v>1779</v>
      </c>
    </row>
    <row r="91" spans="1:9">
      <c r="A91" t="s">
        <v>1780</v>
      </c>
      <c r="B91" t="s">
        <v>42</v>
      </c>
      <c r="C91" s="7"/>
      <c r="D91" t="s">
        <v>1781</v>
      </c>
      <c r="E91" s="7"/>
      <c r="F91" s="7"/>
      <c r="G91" s="7"/>
      <c r="H91" t="s">
        <v>1782</v>
      </c>
      <c r="I91" t="s">
        <v>1782</v>
      </c>
    </row>
    <row r="92" spans="1:9">
      <c r="A92" t="s">
        <v>1783</v>
      </c>
      <c r="B92" t="s">
        <v>42</v>
      </c>
      <c r="C92" s="7"/>
      <c r="D92" t="s">
        <v>1656</v>
      </c>
      <c r="E92" t="s">
        <v>1596</v>
      </c>
      <c r="H92" t="s">
        <v>1784</v>
      </c>
      <c r="I92" s="7"/>
    </row>
    <row r="93" spans="1:9">
      <c r="A93" t="s">
        <v>127</v>
      </c>
      <c r="B93" t="s">
        <v>51</v>
      </c>
      <c r="C93" s="7"/>
      <c r="D93" t="s">
        <v>1785</v>
      </c>
      <c r="E93" s="7"/>
      <c r="F93" s="7"/>
      <c r="G93" s="7"/>
      <c r="H93" t="s">
        <v>1786</v>
      </c>
      <c r="I93" s="7"/>
    </row>
    <row r="94" spans="1:9">
      <c r="A94" t="s">
        <v>1526</v>
      </c>
      <c r="B94" t="s">
        <v>42</v>
      </c>
      <c r="C94" s="7"/>
      <c r="D94" t="s">
        <v>1787</v>
      </c>
      <c r="E94" s="7"/>
      <c r="F94" s="7"/>
      <c r="G94" s="7"/>
      <c r="H94" t="s">
        <v>1788</v>
      </c>
      <c r="I94" t="s">
        <v>1788</v>
      </c>
    </row>
    <row r="95" spans="1:9">
      <c r="A95" t="s">
        <v>1789</v>
      </c>
      <c r="B95" t="s">
        <v>51</v>
      </c>
      <c r="C95" s="7"/>
      <c r="D95" t="s">
        <v>1790</v>
      </c>
      <c r="E95" t="s">
        <v>1791</v>
      </c>
      <c r="H95" t="s">
        <v>1792</v>
      </c>
      <c r="I95" t="s">
        <v>1792</v>
      </c>
    </row>
    <row r="96" spans="1:9">
      <c r="A96" t="s">
        <v>1008</v>
      </c>
      <c r="B96" t="s">
        <v>42</v>
      </c>
      <c r="C96" s="7"/>
      <c r="D96" t="s">
        <v>1793</v>
      </c>
      <c r="E96" s="7"/>
      <c r="F96" s="7"/>
      <c r="G96" s="7"/>
      <c r="H96" t="s">
        <v>1794</v>
      </c>
      <c r="I96" t="s">
        <v>1794</v>
      </c>
    </row>
    <row r="97" spans="1:9">
      <c r="A97" t="s">
        <v>1795</v>
      </c>
      <c r="B97" t="s">
        <v>42</v>
      </c>
      <c r="C97" t="s">
        <v>1796</v>
      </c>
      <c r="D97" t="s">
        <v>1797</v>
      </c>
      <c r="E97" s="7"/>
      <c r="F97" s="7"/>
      <c r="G97" s="7"/>
      <c r="H97" t="s">
        <v>1798</v>
      </c>
      <c r="I97" t="s">
        <v>1798</v>
      </c>
    </row>
    <row r="98" spans="1:9">
      <c r="A98" t="s">
        <v>1011</v>
      </c>
      <c r="B98" t="s">
        <v>42</v>
      </c>
      <c r="C98" s="7"/>
      <c r="D98" t="s">
        <v>1541</v>
      </c>
      <c r="E98" s="7"/>
      <c r="F98" s="7"/>
      <c r="G98" s="7"/>
      <c r="H98" t="s">
        <v>1799</v>
      </c>
      <c r="I98" t="s">
        <v>1799</v>
      </c>
    </row>
    <row r="99" spans="1:9">
      <c r="A99" t="s">
        <v>1800</v>
      </c>
      <c r="B99" t="s">
        <v>42</v>
      </c>
      <c r="C99" s="7"/>
      <c r="D99" t="s">
        <v>1801</v>
      </c>
      <c r="E99" s="7"/>
      <c r="F99" s="7"/>
      <c r="G99" s="7"/>
      <c r="H99" t="s">
        <v>1802</v>
      </c>
      <c r="I99" t="s">
        <v>1802</v>
      </c>
    </row>
    <row r="100" spans="1:9">
      <c r="A100" t="s">
        <v>1803</v>
      </c>
      <c r="B100" t="s">
        <v>51</v>
      </c>
      <c r="C100" s="7"/>
      <c r="D100" s="7"/>
      <c r="E100" s="7"/>
      <c r="F100" s="7"/>
      <c r="G100" s="7"/>
      <c r="H100" t="s">
        <v>1804</v>
      </c>
      <c r="I100" t="s">
        <v>1804</v>
      </c>
    </row>
    <row r="101" spans="1:9">
      <c r="A101" t="s">
        <v>1805</v>
      </c>
      <c r="B101" t="s">
        <v>42</v>
      </c>
      <c r="C101" s="7"/>
      <c r="D101" t="s">
        <v>1552</v>
      </c>
      <c r="E101" s="7"/>
      <c r="F101" s="7"/>
      <c r="G101" s="7"/>
      <c r="H101" t="s">
        <v>1806</v>
      </c>
      <c r="I101" t="s">
        <v>1806</v>
      </c>
    </row>
    <row r="102" spans="1:9">
      <c r="A102" t="s">
        <v>1058</v>
      </c>
      <c r="B102" t="s">
        <v>42</v>
      </c>
      <c r="C102" s="7"/>
      <c r="D102" t="s">
        <v>1807</v>
      </c>
      <c r="E102" t="s">
        <v>1808</v>
      </c>
      <c r="H102" t="s">
        <v>1809</v>
      </c>
      <c r="I102" t="s">
        <v>1809</v>
      </c>
    </row>
    <row r="103" spans="1:9">
      <c r="A103" t="s">
        <v>1810</v>
      </c>
      <c r="B103" t="s">
        <v>42</v>
      </c>
      <c r="C103" s="7"/>
      <c r="D103" t="s">
        <v>1811</v>
      </c>
      <c r="E103" s="7"/>
      <c r="F103" s="7"/>
      <c r="G103" s="7"/>
      <c r="H103" t="s">
        <v>1812</v>
      </c>
      <c r="I103" t="s">
        <v>1812</v>
      </c>
    </row>
    <row r="104" spans="1:9">
      <c r="A104" t="s">
        <v>1813</v>
      </c>
      <c r="B104" t="s">
        <v>42</v>
      </c>
      <c r="C104" t="s">
        <v>1814</v>
      </c>
      <c r="D104" t="s">
        <v>1552</v>
      </c>
      <c r="E104" s="7"/>
      <c r="F104" s="7"/>
      <c r="G104" s="7"/>
      <c r="H104" t="s">
        <v>1815</v>
      </c>
      <c r="I104" t="s">
        <v>1815</v>
      </c>
    </row>
    <row r="105" spans="1:9">
      <c r="A105" t="s">
        <v>1064</v>
      </c>
      <c r="B105" t="s">
        <v>42</v>
      </c>
      <c r="C105" s="7"/>
      <c r="D105" t="s">
        <v>1816</v>
      </c>
      <c r="E105" s="7"/>
      <c r="F105" s="7"/>
      <c r="G105" s="7"/>
      <c r="H105" s="7"/>
      <c r="I105" s="7"/>
    </row>
    <row r="106" spans="1:9">
      <c r="A106" t="s">
        <v>1817</v>
      </c>
      <c r="B106" t="s">
        <v>42</v>
      </c>
      <c r="C106" t="s">
        <v>1818</v>
      </c>
      <c r="D106" t="s">
        <v>1819</v>
      </c>
      <c r="E106" t="s">
        <v>1820</v>
      </c>
      <c r="H106" t="s">
        <v>1821</v>
      </c>
      <c r="I106" t="s">
        <v>1821</v>
      </c>
    </row>
    <row r="107" spans="1:9">
      <c r="A107" t="s">
        <v>1822</v>
      </c>
      <c r="B107" t="s">
        <v>42</v>
      </c>
      <c r="C107" s="7"/>
      <c r="D107" t="s">
        <v>1541</v>
      </c>
      <c r="E107" s="7"/>
      <c r="F107" s="7"/>
      <c r="G107" s="7"/>
      <c r="H107" t="s">
        <v>1823</v>
      </c>
      <c r="I107" s="7"/>
    </row>
    <row r="108" spans="1:9">
      <c r="A108" t="s">
        <v>1824</v>
      </c>
      <c r="B108" t="s">
        <v>42</v>
      </c>
      <c r="C108" t="s">
        <v>1825</v>
      </c>
      <c r="D108" t="s">
        <v>1552</v>
      </c>
      <c r="E108" s="7"/>
      <c r="F108" s="7"/>
      <c r="G108" s="7"/>
      <c r="H108" t="s">
        <v>1826</v>
      </c>
      <c r="I108" t="s">
        <v>1826</v>
      </c>
    </row>
    <row r="109" spans="1:9">
      <c r="A109" t="s">
        <v>1827</v>
      </c>
      <c r="B109" t="s">
        <v>42</v>
      </c>
      <c r="C109" s="7"/>
      <c r="D109" t="s">
        <v>1663</v>
      </c>
      <c r="E109" t="s">
        <v>1828</v>
      </c>
      <c r="H109" t="s">
        <v>1829</v>
      </c>
      <c r="I109" t="s">
        <v>1829</v>
      </c>
    </row>
    <row r="110" spans="1:9">
      <c r="A110" t="s">
        <v>1830</v>
      </c>
      <c r="B110" t="s">
        <v>42</v>
      </c>
      <c r="C110" s="7"/>
      <c r="D110" t="s">
        <v>1541</v>
      </c>
      <c r="E110" t="s">
        <v>1596</v>
      </c>
      <c r="H110" t="s">
        <v>1831</v>
      </c>
      <c r="I110" s="7"/>
    </row>
    <row r="111" spans="1:9">
      <c r="A111" t="s">
        <v>1832</v>
      </c>
      <c r="B111" t="s">
        <v>42</v>
      </c>
      <c r="C111" s="7"/>
      <c r="D111" t="s">
        <v>1552</v>
      </c>
      <c r="E111" s="7"/>
      <c r="F111" s="7"/>
      <c r="G111" s="7"/>
      <c r="H111" t="s">
        <v>1833</v>
      </c>
      <c r="I111" t="s">
        <v>1833</v>
      </c>
    </row>
    <row r="112" spans="1:9">
      <c r="A112" t="s">
        <v>1834</v>
      </c>
      <c r="B112" t="s">
        <v>42</v>
      </c>
      <c r="C112" s="7"/>
      <c r="D112" s="7"/>
      <c r="E112" s="7"/>
      <c r="F112" s="7"/>
      <c r="G112" s="7"/>
      <c r="H112" s="7"/>
      <c r="I112" s="7"/>
    </row>
    <row r="113" spans="1:9">
      <c r="A113" t="s">
        <v>1835</v>
      </c>
      <c r="B113" t="s">
        <v>42</v>
      </c>
      <c r="C113" s="7"/>
      <c r="D113" t="s">
        <v>1663</v>
      </c>
      <c r="E113" t="s">
        <v>1596</v>
      </c>
      <c r="H113" t="s">
        <v>1836</v>
      </c>
      <c r="I113" s="7"/>
    </row>
    <row r="114" spans="1:9">
      <c r="A114" t="s">
        <v>1086</v>
      </c>
      <c r="B114" t="s">
        <v>42</v>
      </c>
      <c r="C114" t="s">
        <v>1837</v>
      </c>
      <c r="D114" t="s">
        <v>1552</v>
      </c>
      <c r="E114" s="7"/>
      <c r="F114" s="7"/>
      <c r="G114" s="7"/>
      <c r="H114" t="s">
        <v>1838</v>
      </c>
      <c r="I114" s="7"/>
    </row>
    <row r="115" spans="1:9">
      <c r="A115" t="s">
        <v>1839</v>
      </c>
      <c r="B115" t="s">
        <v>42</v>
      </c>
      <c r="C115" s="7"/>
      <c r="D115" t="s">
        <v>1656</v>
      </c>
      <c r="E115" s="7"/>
      <c r="F115" s="7"/>
      <c r="G115" s="7"/>
      <c r="H115" t="s">
        <v>1840</v>
      </c>
      <c r="I115" t="s">
        <v>1840</v>
      </c>
    </row>
    <row r="116" spans="1:9">
      <c r="A116" t="s">
        <v>156</v>
      </c>
      <c r="B116" t="s">
        <v>42</v>
      </c>
      <c r="C116" s="7"/>
      <c r="D116" t="s">
        <v>1841</v>
      </c>
      <c r="E116" s="7"/>
      <c r="F116" s="7"/>
      <c r="G116" s="7"/>
      <c r="H116" t="s">
        <v>1842</v>
      </c>
      <c r="I116" t="s">
        <v>1842</v>
      </c>
    </row>
    <row r="117" spans="1:9">
      <c r="A117" t="s">
        <v>1843</v>
      </c>
      <c r="B117" t="s">
        <v>51</v>
      </c>
      <c r="C117" t="s">
        <v>1844</v>
      </c>
      <c r="D117" t="s">
        <v>1845</v>
      </c>
      <c r="E117" s="7"/>
      <c r="F117" s="7"/>
      <c r="G117" s="7"/>
      <c r="H117" t="s">
        <v>1846</v>
      </c>
      <c r="I117" t="s">
        <v>1846</v>
      </c>
    </row>
    <row r="118" spans="1:9">
      <c r="A118" t="s">
        <v>1843</v>
      </c>
      <c r="B118" t="s">
        <v>42</v>
      </c>
      <c r="C118" s="7"/>
      <c r="D118" t="s">
        <v>1552</v>
      </c>
      <c r="E118" s="7"/>
      <c r="F118" s="7"/>
      <c r="G118" s="7"/>
      <c r="H118" t="s">
        <v>1847</v>
      </c>
      <c r="I118" t="s">
        <v>1847</v>
      </c>
    </row>
    <row r="119" spans="1:9">
      <c r="A119" t="s">
        <v>1099</v>
      </c>
      <c r="B119" t="s">
        <v>42</v>
      </c>
      <c r="C119" s="7"/>
      <c r="D119" t="s">
        <v>1848</v>
      </c>
      <c r="E119" s="7"/>
      <c r="F119" s="7"/>
      <c r="G119" s="7"/>
      <c r="H119" t="s">
        <v>1849</v>
      </c>
      <c r="I119" t="s">
        <v>1849</v>
      </c>
    </row>
    <row r="120" spans="1:9">
      <c r="A120" t="s">
        <v>1102</v>
      </c>
      <c r="B120" t="s">
        <v>42</v>
      </c>
      <c r="C120" s="7"/>
      <c r="D120" t="s">
        <v>1850</v>
      </c>
      <c r="E120" t="s">
        <v>1102</v>
      </c>
      <c r="H120" t="s">
        <v>1851</v>
      </c>
      <c r="I120" t="s">
        <v>1851</v>
      </c>
    </row>
    <row r="121" spans="1:9">
      <c r="A121" t="s">
        <v>1105</v>
      </c>
      <c r="B121" t="s">
        <v>51</v>
      </c>
      <c r="C121" s="7"/>
      <c r="D121" t="s">
        <v>1852</v>
      </c>
      <c r="E121" t="s">
        <v>1596</v>
      </c>
      <c r="H121" t="s">
        <v>1853</v>
      </c>
      <c r="I121" t="s">
        <v>1853</v>
      </c>
    </row>
    <row r="122" spans="1:9">
      <c r="A122" t="s">
        <v>1105</v>
      </c>
      <c r="B122" t="s">
        <v>42</v>
      </c>
      <c r="C122" s="7"/>
      <c r="D122" s="7"/>
      <c r="E122" s="7"/>
      <c r="F122" s="7"/>
      <c r="G122" s="7"/>
      <c r="H122" s="7"/>
      <c r="I122" s="7"/>
    </row>
    <row r="123" spans="1:9">
      <c r="A123" t="s">
        <v>1854</v>
      </c>
      <c r="B123" t="s">
        <v>42</v>
      </c>
      <c r="C123" s="7"/>
      <c r="D123" s="7"/>
      <c r="E123" s="7"/>
      <c r="F123" s="7"/>
      <c r="G123" s="7"/>
      <c r="H123" t="s">
        <v>1855</v>
      </c>
      <c r="I123" s="7"/>
    </row>
    <row r="124" spans="1:9">
      <c r="A124" t="s">
        <v>1856</v>
      </c>
      <c r="B124" t="s">
        <v>42</v>
      </c>
      <c r="C124" s="7"/>
      <c r="D124" t="s">
        <v>1857</v>
      </c>
      <c r="E124" s="7"/>
      <c r="F124" s="7"/>
      <c r="G124" s="7"/>
      <c r="H124" t="s">
        <v>1858</v>
      </c>
      <c r="I124" t="s">
        <v>1858</v>
      </c>
    </row>
    <row r="125" spans="1:9">
      <c r="A125" t="s">
        <v>1859</v>
      </c>
      <c r="B125" t="s">
        <v>42</v>
      </c>
      <c r="C125" s="7"/>
      <c r="D125" s="7"/>
      <c r="E125" s="7"/>
      <c r="F125" s="7"/>
      <c r="G125" s="7"/>
      <c r="H125" t="s">
        <v>1860</v>
      </c>
      <c r="I125" t="s">
        <v>1860</v>
      </c>
    </row>
    <row r="126" spans="1:9">
      <c r="A126" t="s">
        <v>1861</v>
      </c>
      <c r="B126" t="s">
        <v>51</v>
      </c>
      <c r="C126" s="7"/>
      <c r="D126" s="7"/>
      <c r="E126" s="7"/>
      <c r="F126" s="7"/>
      <c r="G126" s="7"/>
      <c r="H126" t="s">
        <v>1862</v>
      </c>
      <c r="I126" t="s">
        <v>1862</v>
      </c>
    </row>
    <row r="127" spans="1:9">
      <c r="A127" t="s">
        <v>166</v>
      </c>
      <c r="B127" t="s">
        <v>51</v>
      </c>
      <c r="C127" s="7"/>
      <c r="D127" t="s">
        <v>1863</v>
      </c>
      <c r="E127" s="7"/>
      <c r="F127" s="7"/>
      <c r="G127" s="7"/>
      <c r="H127" t="s">
        <v>1864</v>
      </c>
      <c r="I127" t="s">
        <v>1864</v>
      </c>
    </row>
    <row r="128" spans="1:9">
      <c r="A128" t="s">
        <v>166</v>
      </c>
      <c r="B128" t="s">
        <v>42</v>
      </c>
      <c r="C128" s="7"/>
      <c r="D128" t="s">
        <v>1865</v>
      </c>
      <c r="E128" s="7"/>
      <c r="F128" s="7"/>
      <c r="G128" s="7"/>
      <c r="H128" t="s">
        <v>1866</v>
      </c>
      <c r="I128" t="s">
        <v>1866</v>
      </c>
    </row>
    <row r="129" spans="1:9">
      <c r="A129" t="s">
        <v>1867</v>
      </c>
      <c r="B129" t="s">
        <v>51</v>
      </c>
      <c r="C129" s="7"/>
      <c r="D129" t="s">
        <v>1552</v>
      </c>
      <c r="E129" s="7"/>
      <c r="F129" s="7"/>
      <c r="G129" s="7"/>
      <c r="H129" t="s">
        <v>1868</v>
      </c>
      <c r="I129" t="s">
        <v>1868</v>
      </c>
    </row>
    <row r="130" spans="1:9">
      <c r="A130" t="s">
        <v>172</v>
      </c>
      <c r="B130" t="s">
        <v>42</v>
      </c>
      <c r="C130" t="s">
        <v>1869</v>
      </c>
      <c r="D130" t="s">
        <v>1870</v>
      </c>
      <c r="E130" s="7"/>
      <c r="F130" s="7"/>
      <c r="G130" s="7"/>
      <c r="H130" t="s">
        <v>1871</v>
      </c>
      <c r="I130" t="s">
        <v>1871</v>
      </c>
    </row>
    <row r="131" spans="1:9">
      <c r="A131" t="s">
        <v>1872</v>
      </c>
      <c r="B131" t="s">
        <v>42</v>
      </c>
      <c r="C131" t="s">
        <v>1873</v>
      </c>
      <c r="D131" t="s">
        <v>1576</v>
      </c>
      <c r="E131" t="s">
        <v>1874</v>
      </c>
      <c r="H131" t="s">
        <v>1875</v>
      </c>
      <c r="I131" t="s">
        <v>1875</v>
      </c>
    </row>
    <row r="132" spans="1:9">
      <c r="A132" t="s">
        <v>1876</v>
      </c>
      <c r="B132" t="s">
        <v>42</v>
      </c>
      <c r="C132" s="7"/>
      <c r="D132" t="s">
        <v>1541</v>
      </c>
      <c r="E132" t="s">
        <v>1596</v>
      </c>
      <c r="H132" t="s">
        <v>1877</v>
      </c>
      <c r="I132" s="7"/>
    </row>
    <row r="133" spans="1:9">
      <c r="A133" t="s">
        <v>1878</v>
      </c>
      <c r="B133" t="s">
        <v>42</v>
      </c>
      <c r="C133" s="7"/>
      <c r="D133" t="s">
        <v>1541</v>
      </c>
      <c r="E133" t="s">
        <v>1596</v>
      </c>
      <c r="H133" t="s">
        <v>1879</v>
      </c>
      <c r="I133" t="s">
        <v>1879</v>
      </c>
    </row>
    <row r="134" spans="1:9">
      <c r="A134" t="s">
        <v>1880</v>
      </c>
      <c r="B134" t="s">
        <v>42</v>
      </c>
      <c r="C134" s="7"/>
      <c r="D134" t="s">
        <v>1656</v>
      </c>
      <c r="E134" s="7"/>
      <c r="F134" s="7"/>
      <c r="G134" s="7"/>
      <c r="H134" t="s">
        <v>1881</v>
      </c>
      <c r="I134" s="7"/>
    </row>
    <row r="135" spans="1:9">
      <c r="A135" t="s">
        <v>1882</v>
      </c>
      <c r="B135" t="s">
        <v>42</v>
      </c>
      <c r="C135" s="7"/>
      <c r="D135" t="s">
        <v>1552</v>
      </c>
      <c r="E135" s="7"/>
      <c r="F135" s="7"/>
      <c r="G135" s="7"/>
      <c r="H135" t="s">
        <v>1883</v>
      </c>
      <c r="I135" t="s">
        <v>1883</v>
      </c>
    </row>
    <row r="136" spans="1:9">
      <c r="A136" t="s">
        <v>1884</v>
      </c>
      <c r="B136" t="s">
        <v>42</v>
      </c>
      <c r="C136" t="s">
        <v>1885</v>
      </c>
      <c r="D136" t="s">
        <v>1886</v>
      </c>
      <c r="E136" s="7"/>
      <c r="F136" s="7"/>
      <c r="G136" s="7"/>
      <c r="H136" t="s">
        <v>1887</v>
      </c>
      <c r="I136" t="s">
        <v>1887</v>
      </c>
    </row>
    <row r="137" spans="1:9">
      <c r="A137" t="s">
        <v>1141</v>
      </c>
      <c r="B137" t="s">
        <v>42</v>
      </c>
      <c r="C137" s="7"/>
      <c r="D137" t="s">
        <v>1552</v>
      </c>
      <c r="E137" s="7"/>
      <c r="F137" s="7"/>
      <c r="G137" s="7"/>
      <c r="H137" t="s">
        <v>1888</v>
      </c>
      <c r="I137" t="s">
        <v>1888</v>
      </c>
    </row>
    <row r="138" spans="1:9">
      <c r="A138" t="s">
        <v>1889</v>
      </c>
      <c r="B138" t="s">
        <v>42</v>
      </c>
      <c r="C138" t="s">
        <v>1890</v>
      </c>
      <c r="D138" t="s">
        <v>1891</v>
      </c>
      <c r="E138" t="s">
        <v>1892</v>
      </c>
      <c r="H138" t="s">
        <v>1893</v>
      </c>
      <c r="I138" s="7"/>
    </row>
    <row r="139" spans="1:9">
      <c r="A139" t="s">
        <v>1894</v>
      </c>
      <c r="B139" t="s">
        <v>42</v>
      </c>
      <c r="C139" s="7"/>
      <c r="D139" s="7"/>
      <c r="E139" s="7"/>
      <c r="F139" s="7"/>
      <c r="G139" s="7"/>
      <c r="H139" s="7"/>
      <c r="I139" s="7"/>
    </row>
    <row r="140" spans="1:9">
      <c r="A140" t="s">
        <v>1895</v>
      </c>
      <c r="B140" t="s">
        <v>42</v>
      </c>
      <c r="C140" s="7"/>
      <c r="D140" t="s">
        <v>1896</v>
      </c>
      <c r="E140" t="s">
        <v>1897</v>
      </c>
      <c r="H140" s="7"/>
      <c r="I140" s="7"/>
    </row>
    <row r="141" spans="1:9">
      <c r="A141" t="s">
        <v>1898</v>
      </c>
      <c r="B141" t="s">
        <v>42</v>
      </c>
      <c r="C141" s="7"/>
      <c r="D141" t="s">
        <v>1899</v>
      </c>
      <c r="E141" t="s">
        <v>1900</v>
      </c>
      <c r="H141" s="7"/>
      <c r="I141" s="7"/>
    </row>
    <row r="142" spans="1:9">
      <c r="A142" t="s">
        <v>1901</v>
      </c>
      <c r="B142" t="s">
        <v>42</v>
      </c>
      <c r="C142" s="7"/>
      <c r="D142" t="s">
        <v>1902</v>
      </c>
      <c r="E142" t="s">
        <v>1903</v>
      </c>
      <c r="H142" s="7"/>
      <c r="I142" s="7"/>
    </row>
    <row r="143" spans="1:9">
      <c r="A143" t="s">
        <v>1904</v>
      </c>
      <c r="B143" t="s">
        <v>42</v>
      </c>
      <c r="C143" s="7"/>
      <c r="D143" t="s">
        <v>1905</v>
      </c>
      <c r="E143" t="s">
        <v>1906</v>
      </c>
      <c r="H143" s="7"/>
      <c r="I143" s="7"/>
    </row>
    <row r="144" spans="1:9">
      <c r="A144" t="s">
        <v>1907</v>
      </c>
      <c r="B144" t="s">
        <v>42</v>
      </c>
      <c r="C144" s="7"/>
      <c r="D144" t="s">
        <v>1908</v>
      </c>
      <c r="E144" t="s">
        <v>1909</v>
      </c>
      <c r="H144" t="s">
        <v>1910</v>
      </c>
      <c r="I144" t="s">
        <v>1910</v>
      </c>
    </row>
    <row r="145" spans="1:9">
      <c r="A145" t="s">
        <v>1911</v>
      </c>
      <c r="B145" t="s">
        <v>42</v>
      </c>
      <c r="C145" s="7"/>
      <c r="D145" t="s">
        <v>1912</v>
      </c>
      <c r="E145" t="s">
        <v>1913</v>
      </c>
      <c r="H145" s="7"/>
      <c r="I145" s="7"/>
    </row>
    <row r="146" spans="1:9">
      <c r="A146" t="s">
        <v>1914</v>
      </c>
      <c r="B146" t="s">
        <v>42</v>
      </c>
      <c r="C146" s="7"/>
      <c r="D146" s="7"/>
      <c r="E146" s="7"/>
      <c r="F146" s="7"/>
      <c r="G146" s="7"/>
      <c r="H146" s="7"/>
      <c r="I146" s="7"/>
    </row>
    <row r="147" spans="1:9">
      <c r="A147" t="s">
        <v>1915</v>
      </c>
      <c r="B147" t="s">
        <v>42</v>
      </c>
      <c r="C147" s="7"/>
      <c r="D147" t="s">
        <v>1916</v>
      </c>
      <c r="E147" t="s">
        <v>1917</v>
      </c>
      <c r="H147" s="7"/>
      <c r="I147" s="7"/>
    </row>
    <row r="148" spans="1:9">
      <c r="A148" t="s">
        <v>1918</v>
      </c>
      <c r="B148" t="s">
        <v>42</v>
      </c>
      <c r="C148" s="7"/>
      <c r="D148" t="s">
        <v>1656</v>
      </c>
      <c r="E148" t="s">
        <v>1918</v>
      </c>
      <c r="H148" t="s">
        <v>1919</v>
      </c>
      <c r="I148" s="7"/>
    </row>
    <row r="149" spans="1:9">
      <c r="A149" t="s">
        <v>1920</v>
      </c>
      <c r="B149" t="s">
        <v>42</v>
      </c>
      <c r="C149" s="7"/>
      <c r="D149" t="s">
        <v>1541</v>
      </c>
      <c r="E149" t="s">
        <v>1596</v>
      </c>
      <c r="H149" t="s">
        <v>1921</v>
      </c>
      <c r="I149" s="7"/>
    </row>
    <row r="150" spans="1:9">
      <c r="A150" t="s">
        <v>1922</v>
      </c>
      <c r="B150" t="s">
        <v>42</v>
      </c>
      <c r="C150" s="7"/>
      <c r="D150" s="7"/>
      <c r="E150" t="s">
        <v>1922</v>
      </c>
      <c r="H150" t="s">
        <v>1923</v>
      </c>
      <c r="I150" t="s">
        <v>1923</v>
      </c>
    </row>
    <row r="151" spans="1:9">
      <c r="A151" t="s">
        <v>1924</v>
      </c>
      <c r="B151" t="s">
        <v>42</v>
      </c>
      <c r="C151" s="7"/>
      <c r="D151" t="s">
        <v>1552</v>
      </c>
      <c r="E151" s="7"/>
      <c r="F151" s="7"/>
      <c r="G151" s="7"/>
      <c r="H151" s="7"/>
      <c r="I151" s="7"/>
    </row>
    <row r="152" spans="1:9">
      <c r="A152" t="s">
        <v>1925</v>
      </c>
      <c r="B152" t="s">
        <v>42</v>
      </c>
      <c r="C152" s="7"/>
      <c r="D152" t="s">
        <v>1926</v>
      </c>
      <c r="E152" s="7"/>
      <c r="F152" s="7"/>
      <c r="G152" s="7"/>
      <c r="H152" t="s">
        <v>1927</v>
      </c>
      <c r="I152" t="s">
        <v>1927</v>
      </c>
    </row>
    <row r="153" spans="1:9">
      <c r="A153" t="s">
        <v>1928</v>
      </c>
      <c r="B153" t="s">
        <v>42</v>
      </c>
      <c r="C153" s="7"/>
      <c r="D153" t="s">
        <v>1929</v>
      </c>
      <c r="E153" s="7"/>
      <c r="F153" s="7"/>
      <c r="G153" s="7"/>
      <c r="H153" t="s">
        <v>1930</v>
      </c>
      <c r="I153" t="s">
        <v>1930</v>
      </c>
    </row>
    <row r="154" spans="1:9">
      <c r="A154" t="s">
        <v>1931</v>
      </c>
      <c r="B154" t="s">
        <v>42</v>
      </c>
      <c r="C154" s="7"/>
      <c r="D154" t="s">
        <v>1541</v>
      </c>
      <c r="E154" t="s">
        <v>1596</v>
      </c>
      <c r="H154" s="7"/>
      <c r="I154" s="7"/>
    </row>
    <row r="155" spans="1:9">
      <c r="A155" t="s">
        <v>1932</v>
      </c>
      <c r="B155" t="s">
        <v>42</v>
      </c>
      <c r="C155" t="s">
        <v>1933</v>
      </c>
      <c r="D155" t="s">
        <v>1552</v>
      </c>
      <c r="E155" s="7"/>
      <c r="F155" s="7"/>
      <c r="G155" s="7"/>
      <c r="H155" t="s">
        <v>1934</v>
      </c>
      <c r="I155" t="s">
        <v>1934</v>
      </c>
    </row>
    <row r="156" spans="1:9">
      <c r="A156" t="s">
        <v>1935</v>
      </c>
      <c r="B156" t="s">
        <v>42</v>
      </c>
      <c r="C156" t="s">
        <v>1936</v>
      </c>
      <c r="D156" t="s">
        <v>1937</v>
      </c>
      <c r="E156" s="7"/>
      <c r="F156" s="7"/>
      <c r="G156" s="7"/>
      <c r="H156" t="s">
        <v>1938</v>
      </c>
      <c r="I156" t="s">
        <v>1938</v>
      </c>
    </row>
    <row r="157" spans="1:9">
      <c r="A157" t="s">
        <v>1939</v>
      </c>
      <c r="B157" t="s">
        <v>51</v>
      </c>
      <c r="C157" s="7"/>
      <c r="D157" t="s">
        <v>1940</v>
      </c>
      <c r="E157" s="7"/>
      <c r="F157" s="7"/>
      <c r="G157" s="7"/>
      <c r="H157" t="s">
        <v>1941</v>
      </c>
      <c r="I157" t="s">
        <v>1941</v>
      </c>
    </row>
    <row r="158" spans="1:9">
      <c r="A158" t="s">
        <v>1942</v>
      </c>
      <c r="B158" t="s">
        <v>42</v>
      </c>
      <c r="C158" s="7"/>
      <c r="D158" t="s">
        <v>1656</v>
      </c>
      <c r="E158" t="s">
        <v>1943</v>
      </c>
      <c r="H158" t="s">
        <v>1944</v>
      </c>
      <c r="I158" s="7"/>
    </row>
    <row r="159" spans="1:9">
      <c r="A159" t="s">
        <v>1945</v>
      </c>
      <c r="B159" t="s">
        <v>51</v>
      </c>
      <c r="C159" t="s">
        <v>1946</v>
      </c>
      <c r="D159" t="s">
        <v>1947</v>
      </c>
      <c r="E159" t="s">
        <v>1945</v>
      </c>
      <c r="H159" t="s">
        <v>1948</v>
      </c>
      <c r="I159" t="s">
        <v>1948</v>
      </c>
    </row>
    <row r="160" spans="1:9">
      <c r="A160" t="s">
        <v>1949</v>
      </c>
      <c r="B160" t="s">
        <v>42</v>
      </c>
      <c r="C160" s="7"/>
      <c r="D160" t="s">
        <v>1950</v>
      </c>
      <c r="E160" s="7"/>
      <c r="F160" s="7"/>
      <c r="G160" s="7"/>
      <c r="H160" t="s">
        <v>1951</v>
      </c>
      <c r="I160" s="7"/>
    </row>
    <row r="161" spans="1:9">
      <c r="A161" t="s">
        <v>1952</v>
      </c>
      <c r="B161" t="s">
        <v>42</v>
      </c>
      <c r="C161" t="s">
        <v>1953</v>
      </c>
      <c r="D161" t="s">
        <v>1954</v>
      </c>
      <c r="E161" s="7"/>
      <c r="F161" s="7"/>
      <c r="G161" s="7"/>
      <c r="H161" t="s">
        <v>1955</v>
      </c>
      <c r="I161" t="s">
        <v>1955</v>
      </c>
    </row>
    <row r="162" spans="1:9">
      <c r="A162" t="s">
        <v>199</v>
      </c>
      <c r="B162" t="s">
        <v>42</v>
      </c>
      <c r="C162" s="7"/>
      <c r="D162" t="s">
        <v>1552</v>
      </c>
      <c r="E162" t="s">
        <v>199</v>
      </c>
      <c r="H162" t="s">
        <v>1956</v>
      </c>
      <c r="I162" t="s">
        <v>1956</v>
      </c>
    </row>
    <row r="163" spans="1:9">
      <c r="A163" t="s">
        <v>1957</v>
      </c>
      <c r="B163" t="s">
        <v>42</v>
      </c>
      <c r="C163" s="7"/>
      <c r="D163" s="7"/>
      <c r="E163" s="7"/>
      <c r="F163" s="7"/>
      <c r="G163" s="7"/>
      <c r="H163" s="7"/>
      <c r="I163" s="7"/>
    </row>
    <row r="164" spans="1:9">
      <c r="A164" t="s">
        <v>1958</v>
      </c>
      <c r="B164" t="s">
        <v>42</v>
      </c>
      <c r="C164" s="7"/>
      <c r="D164" t="s">
        <v>1656</v>
      </c>
      <c r="E164" t="s">
        <v>1596</v>
      </c>
      <c r="H164" t="s">
        <v>1959</v>
      </c>
      <c r="I164" s="7"/>
    </row>
    <row r="165" spans="1:9">
      <c r="A165" t="s">
        <v>1960</v>
      </c>
      <c r="B165" t="s">
        <v>42</v>
      </c>
      <c r="C165" s="7"/>
      <c r="D165" t="s">
        <v>1552</v>
      </c>
      <c r="E165" s="7"/>
      <c r="F165" s="7"/>
      <c r="G165" s="7"/>
      <c r="H165" t="s">
        <v>1961</v>
      </c>
      <c r="I165" t="s">
        <v>1961</v>
      </c>
    </row>
    <row r="166" spans="1:9">
      <c r="A166" t="s">
        <v>1962</v>
      </c>
      <c r="B166" t="s">
        <v>42</v>
      </c>
      <c r="C166" s="7"/>
      <c r="D166" t="s">
        <v>1552</v>
      </c>
      <c r="E166" s="7"/>
      <c r="F166" s="7"/>
      <c r="G166" s="7"/>
      <c r="H166" t="s">
        <v>1963</v>
      </c>
      <c r="I166" t="s">
        <v>1963</v>
      </c>
    </row>
    <row r="167" spans="1:9">
      <c r="A167" t="s">
        <v>1222</v>
      </c>
      <c r="B167" t="s">
        <v>42</v>
      </c>
      <c r="C167" s="7"/>
      <c r="D167" t="s">
        <v>1552</v>
      </c>
      <c r="E167" s="7"/>
      <c r="F167" s="7"/>
      <c r="G167" s="7"/>
      <c r="H167" s="7"/>
      <c r="I167" s="7"/>
    </row>
    <row r="168" spans="1:9">
      <c r="A168" t="s">
        <v>1271</v>
      </c>
      <c r="B168" t="s">
        <v>42</v>
      </c>
      <c r="C168" t="s">
        <v>1964</v>
      </c>
      <c r="D168" t="s">
        <v>1552</v>
      </c>
      <c r="E168" s="7"/>
      <c r="F168" s="7"/>
      <c r="G168" s="7"/>
      <c r="H168" t="s">
        <v>1965</v>
      </c>
      <c r="I168" t="s">
        <v>1965</v>
      </c>
    </row>
    <row r="169" spans="1:9">
      <c r="A169" t="s">
        <v>1225</v>
      </c>
      <c r="B169" t="s">
        <v>51</v>
      </c>
      <c r="C169" s="7"/>
      <c r="D169" t="s">
        <v>1966</v>
      </c>
      <c r="E169" t="s">
        <v>1596</v>
      </c>
      <c r="H169" t="s">
        <v>1967</v>
      </c>
      <c r="I169" t="s">
        <v>1967</v>
      </c>
    </row>
    <row r="170" spans="1:9">
      <c r="A170" t="s">
        <v>1225</v>
      </c>
      <c r="B170" t="s">
        <v>42</v>
      </c>
      <c r="C170" s="7"/>
      <c r="D170" t="s">
        <v>1552</v>
      </c>
      <c r="E170" t="s">
        <v>1596</v>
      </c>
      <c r="H170" t="s">
        <v>1967</v>
      </c>
      <c r="I170" t="s">
        <v>1967</v>
      </c>
    </row>
    <row r="171" spans="1:9">
      <c r="A171" t="s">
        <v>1275</v>
      </c>
      <c r="B171" t="s">
        <v>42</v>
      </c>
      <c r="C171" t="s">
        <v>1968</v>
      </c>
      <c r="D171" t="s">
        <v>1969</v>
      </c>
      <c r="E171" s="7"/>
      <c r="F171" s="7"/>
      <c r="G171" s="7"/>
      <c r="H171" t="s">
        <v>1970</v>
      </c>
      <c r="I171" t="s">
        <v>1970</v>
      </c>
    </row>
    <row r="172" spans="1:9">
      <c r="A172" t="s">
        <v>1278</v>
      </c>
      <c r="B172" t="s">
        <v>42</v>
      </c>
      <c r="C172" s="7"/>
      <c r="D172" t="s">
        <v>1552</v>
      </c>
      <c r="E172" s="7"/>
      <c r="F172" s="7"/>
      <c r="G172" s="7"/>
      <c r="H172" t="s">
        <v>1971</v>
      </c>
      <c r="I172" t="s">
        <v>1971</v>
      </c>
    </row>
    <row r="173" spans="1:9">
      <c r="A173" t="s">
        <v>1972</v>
      </c>
      <c r="B173" t="s">
        <v>42</v>
      </c>
      <c r="C173" s="7"/>
      <c r="D173" s="7"/>
      <c r="E173" t="s">
        <v>1596</v>
      </c>
      <c r="H173" t="s">
        <v>1973</v>
      </c>
      <c r="I173" t="s">
        <v>1973</v>
      </c>
    </row>
    <row r="174" spans="1:9">
      <c r="A174" t="s">
        <v>1974</v>
      </c>
      <c r="B174" t="s">
        <v>42</v>
      </c>
      <c r="C174" t="s">
        <v>1975</v>
      </c>
      <c r="D174" t="s">
        <v>1976</v>
      </c>
      <c r="E174" t="s">
        <v>1977</v>
      </c>
      <c r="H174" t="s">
        <v>1978</v>
      </c>
      <c r="I174" s="7"/>
    </row>
    <row r="175" spans="1:9">
      <c r="A175" t="s">
        <v>1979</v>
      </c>
      <c r="B175" t="s">
        <v>42</v>
      </c>
      <c r="C175" t="s">
        <v>1975</v>
      </c>
      <c r="D175" t="s">
        <v>1980</v>
      </c>
      <c r="E175" t="s">
        <v>1977</v>
      </c>
      <c r="H175" t="s">
        <v>1978</v>
      </c>
      <c r="I175" s="7"/>
    </row>
    <row r="176" spans="1:9">
      <c r="A176" t="s">
        <v>1981</v>
      </c>
      <c r="B176" t="s">
        <v>42</v>
      </c>
      <c r="C176" s="7"/>
      <c r="D176" t="s">
        <v>1982</v>
      </c>
      <c r="E176" t="s">
        <v>1983</v>
      </c>
      <c r="H176" t="s">
        <v>1978</v>
      </c>
      <c r="I176" s="7"/>
    </row>
    <row r="177" spans="1:9">
      <c r="A177" t="s">
        <v>1984</v>
      </c>
      <c r="B177" t="s">
        <v>42</v>
      </c>
      <c r="C177" s="7"/>
      <c r="D177" t="s">
        <v>1663</v>
      </c>
      <c r="E177" t="s">
        <v>1596</v>
      </c>
      <c r="H177" t="s">
        <v>1985</v>
      </c>
      <c r="I177" s="7"/>
    </row>
    <row r="178" spans="1:9">
      <c r="A178" t="s">
        <v>210</v>
      </c>
      <c r="B178" t="s">
        <v>42</v>
      </c>
      <c r="C178" s="7"/>
      <c r="D178" s="7"/>
      <c r="E178" s="7"/>
      <c r="F178" s="7"/>
      <c r="G178" s="7"/>
      <c r="H178" t="s">
        <v>1986</v>
      </c>
      <c r="I178" s="7"/>
    </row>
    <row r="179" spans="1:9">
      <c r="A179" t="s">
        <v>1289</v>
      </c>
      <c r="B179" t="s">
        <v>42</v>
      </c>
      <c r="C179" s="7"/>
      <c r="D179" s="7"/>
      <c r="E179" s="7"/>
      <c r="F179" s="7"/>
      <c r="G179" s="7"/>
      <c r="H179" s="7"/>
      <c r="I179" s="7"/>
    </row>
    <row r="180" spans="1:9">
      <c r="A180" t="s">
        <v>1987</v>
      </c>
      <c r="B180" t="s">
        <v>51</v>
      </c>
      <c r="C180" s="7"/>
      <c r="D180" t="s">
        <v>1988</v>
      </c>
      <c r="E180" s="7"/>
      <c r="F180" s="7"/>
      <c r="G180" s="7"/>
      <c r="H180" t="s">
        <v>1989</v>
      </c>
      <c r="I180" t="s">
        <v>1989</v>
      </c>
    </row>
    <row r="181" spans="1:9">
      <c r="A181" t="s">
        <v>1990</v>
      </c>
      <c r="B181" t="s">
        <v>42</v>
      </c>
      <c r="C181" s="7"/>
      <c r="D181" t="s">
        <v>1552</v>
      </c>
      <c r="E181" s="7"/>
      <c r="F181" s="7"/>
      <c r="G181" s="7"/>
      <c r="H181" t="s">
        <v>1991</v>
      </c>
      <c r="I181" t="s">
        <v>1991</v>
      </c>
    </row>
    <row r="182" spans="1:9">
      <c r="A182" t="s">
        <v>1992</v>
      </c>
      <c r="B182" t="s">
        <v>42</v>
      </c>
      <c r="C182" s="7"/>
      <c r="D182" t="s">
        <v>1541</v>
      </c>
      <c r="E182" t="s">
        <v>1596</v>
      </c>
      <c r="H182" t="s">
        <v>1993</v>
      </c>
      <c r="I182" s="7"/>
    </row>
    <row r="183" spans="1:9">
      <c r="A183" t="s">
        <v>1994</v>
      </c>
      <c r="B183" t="s">
        <v>42</v>
      </c>
      <c r="C183" s="7"/>
      <c r="D183" t="s">
        <v>1541</v>
      </c>
      <c r="E183" t="s">
        <v>1596</v>
      </c>
      <c r="H183" t="s">
        <v>1995</v>
      </c>
      <c r="I183" s="7"/>
    </row>
    <row r="184" spans="1:9">
      <c r="A184" t="s">
        <v>1303</v>
      </c>
      <c r="B184" t="s">
        <v>42</v>
      </c>
      <c r="C184" s="7"/>
      <c r="D184" t="s">
        <v>1996</v>
      </c>
      <c r="E184" s="7"/>
      <c r="F184" s="7"/>
      <c r="G184" s="7"/>
      <c r="H184" t="s">
        <v>1997</v>
      </c>
      <c r="I184" t="s">
        <v>1997</v>
      </c>
    </row>
    <row r="185" spans="1:9">
      <c r="A185" t="s">
        <v>1998</v>
      </c>
      <c r="B185" t="s">
        <v>42</v>
      </c>
      <c r="C185" s="7"/>
      <c r="D185" t="s">
        <v>1656</v>
      </c>
      <c r="E185" t="s">
        <v>1998</v>
      </c>
      <c r="H185" t="s">
        <v>1999</v>
      </c>
      <c r="I185" s="7"/>
    </row>
    <row r="186" spans="1:9">
      <c r="A186" t="s">
        <v>2000</v>
      </c>
      <c r="B186" t="s">
        <v>42</v>
      </c>
      <c r="C186" s="7"/>
      <c r="D186" s="7"/>
      <c r="E186" s="7"/>
      <c r="F186" s="7"/>
      <c r="G186" s="7"/>
      <c r="H186" t="s">
        <v>2001</v>
      </c>
      <c r="I186" s="7"/>
    </row>
    <row r="187" spans="1:9">
      <c r="A187" t="s">
        <v>2002</v>
      </c>
      <c r="B187" t="s">
        <v>42</v>
      </c>
      <c r="C187" t="s">
        <v>2003</v>
      </c>
      <c r="D187" t="s">
        <v>1790</v>
      </c>
      <c r="E187" s="7"/>
      <c r="F187" s="7"/>
      <c r="G187" s="7"/>
      <c r="H187" t="s">
        <v>2004</v>
      </c>
      <c r="I187" t="s">
        <v>2004</v>
      </c>
    </row>
    <row r="188" spans="1:9">
      <c r="A188" t="s">
        <v>2005</v>
      </c>
      <c r="B188" t="s">
        <v>42</v>
      </c>
      <c r="C188" t="s">
        <v>2006</v>
      </c>
      <c r="D188" t="s">
        <v>2007</v>
      </c>
      <c r="E188" s="7"/>
      <c r="F188" s="7"/>
      <c r="G188" s="7"/>
      <c r="H188" t="s">
        <v>2008</v>
      </c>
      <c r="I188" t="s">
        <v>2008</v>
      </c>
    </row>
    <row r="189" spans="1:9">
      <c r="A189" t="s">
        <v>2009</v>
      </c>
      <c r="B189" t="s">
        <v>42</v>
      </c>
      <c r="C189" t="s">
        <v>2010</v>
      </c>
      <c r="D189" t="s">
        <v>2011</v>
      </c>
      <c r="E189" t="s">
        <v>2012</v>
      </c>
      <c r="H189" t="s">
        <v>2013</v>
      </c>
      <c r="I189" t="s">
        <v>2013</v>
      </c>
    </row>
    <row r="190" spans="1:9">
      <c r="A190" t="s">
        <v>2014</v>
      </c>
      <c r="B190" t="s">
        <v>42</v>
      </c>
      <c r="C190" t="s">
        <v>2015</v>
      </c>
      <c r="D190" t="s">
        <v>2016</v>
      </c>
      <c r="E190" t="s">
        <v>2017</v>
      </c>
      <c r="H190" t="s">
        <v>2018</v>
      </c>
      <c r="I190" t="s">
        <v>2018</v>
      </c>
    </row>
    <row r="191" spans="1:9">
      <c r="A191" t="s">
        <v>2019</v>
      </c>
      <c r="B191" t="s">
        <v>42</v>
      </c>
      <c r="C191" s="7"/>
      <c r="D191" t="s">
        <v>1656</v>
      </c>
      <c r="E191" t="s">
        <v>2020</v>
      </c>
      <c r="H191" t="s">
        <v>2021</v>
      </c>
      <c r="I191" s="7"/>
    </row>
    <row r="192" spans="1:9">
      <c r="A192" t="s">
        <v>2022</v>
      </c>
      <c r="B192" t="s">
        <v>42</v>
      </c>
      <c r="C192" s="7"/>
      <c r="D192" t="s">
        <v>2023</v>
      </c>
      <c r="E192" s="7"/>
      <c r="F192" s="7"/>
      <c r="G192" s="7"/>
      <c r="H192" t="s">
        <v>2024</v>
      </c>
      <c r="I192" t="s">
        <v>2024</v>
      </c>
    </row>
    <row r="193" spans="1:9">
      <c r="A193" t="s">
        <v>1329</v>
      </c>
      <c r="B193" t="s">
        <v>42</v>
      </c>
      <c r="C193" s="7"/>
      <c r="D193" t="s">
        <v>1552</v>
      </c>
      <c r="E193" s="7"/>
      <c r="F193" s="7"/>
      <c r="G193" s="7"/>
      <c r="H193" t="s">
        <v>2025</v>
      </c>
      <c r="I193" s="7"/>
    </row>
    <row r="194" spans="1:9">
      <c r="A194" t="s">
        <v>2026</v>
      </c>
      <c r="B194" t="s">
        <v>42</v>
      </c>
      <c r="C194" s="7"/>
      <c r="D194" t="s">
        <v>1656</v>
      </c>
      <c r="E194" t="s">
        <v>553</v>
      </c>
      <c r="H194" t="s">
        <v>2027</v>
      </c>
      <c r="I194" s="7"/>
    </row>
    <row r="195" spans="1:9">
      <c r="A195" t="s">
        <v>2028</v>
      </c>
      <c r="B195" t="s">
        <v>42</v>
      </c>
      <c r="C195" s="7"/>
      <c r="D195" t="s">
        <v>1552</v>
      </c>
      <c r="E195" s="7"/>
      <c r="F195" s="7"/>
      <c r="G195" s="7"/>
      <c r="H195" t="s">
        <v>2029</v>
      </c>
      <c r="I195" t="s">
        <v>2029</v>
      </c>
    </row>
    <row r="196" spans="1:9">
      <c r="A196" t="s">
        <v>2030</v>
      </c>
      <c r="B196" t="s">
        <v>42</v>
      </c>
      <c r="C196" s="7"/>
      <c r="D196" t="s">
        <v>1541</v>
      </c>
      <c r="E196" s="7"/>
      <c r="F196" s="7"/>
      <c r="G196" s="7"/>
      <c r="H196" t="s">
        <v>2031</v>
      </c>
      <c r="I196" t="s">
        <v>2031</v>
      </c>
    </row>
    <row r="197" spans="1:9">
      <c r="A197" t="s">
        <v>553</v>
      </c>
      <c r="B197" t="s">
        <v>51</v>
      </c>
      <c r="C197" s="7"/>
      <c r="D197" t="s">
        <v>2032</v>
      </c>
      <c r="E197" t="s">
        <v>553</v>
      </c>
      <c r="H197" t="s">
        <v>2027</v>
      </c>
      <c r="I197" t="s">
        <v>2027</v>
      </c>
    </row>
    <row r="198" spans="1:9">
      <c r="A198" t="s">
        <v>2033</v>
      </c>
      <c r="B198" t="s">
        <v>42</v>
      </c>
      <c r="C198" s="7"/>
      <c r="D198" t="s">
        <v>1541</v>
      </c>
      <c r="E198" s="7"/>
      <c r="F198" s="7"/>
      <c r="G198" s="7"/>
      <c r="H198" t="s">
        <v>2034</v>
      </c>
      <c r="I198" t="s">
        <v>2034</v>
      </c>
    </row>
    <row r="199" spans="1:9">
      <c r="A199" t="s">
        <v>2035</v>
      </c>
      <c r="B199" t="s">
        <v>51</v>
      </c>
      <c r="C199" t="s">
        <v>2036</v>
      </c>
      <c r="D199" t="s">
        <v>2037</v>
      </c>
      <c r="E199" t="s">
        <v>1596</v>
      </c>
      <c r="H199" t="s">
        <v>2038</v>
      </c>
      <c r="I199" t="s">
        <v>2038</v>
      </c>
    </row>
    <row r="200" spans="1:9">
      <c r="A200" t="s">
        <v>2035</v>
      </c>
      <c r="B200" t="s">
        <v>42</v>
      </c>
      <c r="C200" t="s">
        <v>2036</v>
      </c>
      <c r="D200" t="s">
        <v>1552</v>
      </c>
      <c r="E200" s="7"/>
      <c r="F200" s="7"/>
      <c r="G200" s="7"/>
      <c r="H200" t="s">
        <v>2038</v>
      </c>
      <c r="I200" t="s">
        <v>2038</v>
      </c>
    </row>
    <row r="201" spans="1:9">
      <c r="A201" t="s">
        <v>2039</v>
      </c>
      <c r="B201" t="s">
        <v>42</v>
      </c>
      <c r="C201" s="7"/>
      <c r="D201" s="7"/>
      <c r="E201" s="7"/>
      <c r="F201" s="7"/>
      <c r="G201" s="7"/>
      <c r="H201" t="s">
        <v>2040</v>
      </c>
      <c r="I201" t="s">
        <v>2040</v>
      </c>
    </row>
    <row r="202" spans="1:9">
      <c r="A202" t="s">
        <v>2041</v>
      </c>
      <c r="B202" t="s">
        <v>42</v>
      </c>
      <c r="C202" s="7"/>
      <c r="D202" t="s">
        <v>2042</v>
      </c>
      <c r="E202" s="7"/>
      <c r="F202" s="7"/>
      <c r="G202" s="7"/>
      <c r="H202" t="s">
        <v>2043</v>
      </c>
      <c r="I202" t="s">
        <v>2043</v>
      </c>
    </row>
    <row r="203" spans="1:9">
      <c r="A203" t="s">
        <v>2044</v>
      </c>
      <c r="B203" t="s">
        <v>42</v>
      </c>
      <c r="C203" s="7"/>
      <c r="D203" t="s">
        <v>1552</v>
      </c>
      <c r="E203" s="7"/>
      <c r="F203" s="7"/>
      <c r="G203" s="7"/>
      <c r="H203" t="s">
        <v>2045</v>
      </c>
      <c r="I203" t="s">
        <v>2045</v>
      </c>
    </row>
    <row r="204" spans="1:9">
      <c r="A204" t="s">
        <v>2046</v>
      </c>
      <c r="B204" t="s">
        <v>42</v>
      </c>
      <c r="C204" s="7"/>
      <c r="D204" t="s">
        <v>2047</v>
      </c>
      <c r="E204" s="7"/>
      <c r="F204" s="7"/>
      <c r="G204" s="7"/>
      <c r="H204" t="s">
        <v>2048</v>
      </c>
      <c r="I204" t="s">
        <v>2048</v>
      </c>
    </row>
    <row r="205" spans="1:9">
      <c r="A205" t="s">
        <v>1355</v>
      </c>
      <c r="B205" t="s">
        <v>51</v>
      </c>
      <c r="C205" s="7"/>
      <c r="D205" s="7"/>
      <c r="E205" s="7"/>
      <c r="F205" s="7"/>
      <c r="G205" s="7"/>
      <c r="H205" t="s">
        <v>2049</v>
      </c>
      <c r="I205" t="s">
        <v>2049</v>
      </c>
    </row>
    <row r="206" spans="1:9">
      <c r="A206" t="s">
        <v>1355</v>
      </c>
      <c r="B206" t="s">
        <v>42</v>
      </c>
      <c r="C206" t="s">
        <v>2050</v>
      </c>
      <c r="D206" t="s">
        <v>2051</v>
      </c>
      <c r="E206" s="7"/>
      <c r="F206" s="7"/>
      <c r="G206" s="7"/>
      <c r="H206" t="s">
        <v>2052</v>
      </c>
      <c r="I206" t="s">
        <v>2052</v>
      </c>
    </row>
    <row r="207" spans="1:9">
      <c r="A207" t="s">
        <v>2053</v>
      </c>
      <c r="B207" t="s">
        <v>51</v>
      </c>
      <c r="C207" s="7"/>
      <c r="D207" s="7"/>
      <c r="E207" s="7"/>
      <c r="F207" s="7"/>
      <c r="G207" s="7"/>
      <c r="H207" s="7"/>
      <c r="I207" s="7"/>
    </row>
    <row r="208" spans="1:9">
      <c r="A208" t="s">
        <v>2054</v>
      </c>
      <c r="B208" t="s">
        <v>42</v>
      </c>
      <c r="C208" s="7"/>
      <c r="D208" s="7"/>
      <c r="E208" s="7"/>
      <c r="F208" s="7"/>
      <c r="G208" s="7"/>
      <c r="H208" s="7"/>
      <c r="I208" s="7"/>
    </row>
    <row r="209" spans="1:9">
      <c r="A209" t="s">
        <v>2055</v>
      </c>
      <c r="B209" t="s">
        <v>51</v>
      </c>
      <c r="C209" s="7"/>
      <c r="D209" t="s">
        <v>2056</v>
      </c>
      <c r="E209" s="7"/>
      <c r="F209" s="7"/>
      <c r="G209" s="7"/>
      <c r="H209" t="s">
        <v>2057</v>
      </c>
      <c r="I209" t="s">
        <v>2057</v>
      </c>
    </row>
    <row r="210" spans="1:9">
      <c r="A210" t="s">
        <v>2055</v>
      </c>
      <c r="B210" t="s">
        <v>42</v>
      </c>
      <c r="C210" s="7"/>
      <c r="D210" t="s">
        <v>1552</v>
      </c>
      <c r="E210" s="7"/>
      <c r="F210" s="7"/>
      <c r="G210" s="7"/>
      <c r="H210" t="s">
        <v>2057</v>
      </c>
      <c r="I210" t="s">
        <v>2057</v>
      </c>
    </row>
    <row r="211" spans="1:9">
      <c r="A211" t="s">
        <v>2058</v>
      </c>
      <c r="B211" t="s">
        <v>42</v>
      </c>
      <c r="C211" s="7"/>
      <c r="D211" t="s">
        <v>1541</v>
      </c>
      <c r="E211" t="s">
        <v>1596</v>
      </c>
      <c r="H211" t="s">
        <v>2059</v>
      </c>
      <c r="I211" t="s">
        <v>2059</v>
      </c>
    </row>
    <row r="212" spans="1:9">
      <c r="A212" t="s">
        <v>2060</v>
      </c>
      <c r="B212" t="s">
        <v>42</v>
      </c>
      <c r="C212" s="7"/>
      <c r="D212" t="s">
        <v>2061</v>
      </c>
      <c r="E212" t="s">
        <v>2060</v>
      </c>
      <c r="H212" t="s">
        <v>2062</v>
      </c>
      <c r="I212" t="s">
        <v>2062</v>
      </c>
    </row>
    <row r="213" spans="1:9">
      <c r="A213" t="s">
        <v>2063</v>
      </c>
      <c r="B213" t="s">
        <v>42</v>
      </c>
      <c r="C213" t="s">
        <v>2064</v>
      </c>
      <c r="D213" t="s">
        <v>1552</v>
      </c>
      <c r="E213" s="7"/>
      <c r="F213" s="7"/>
      <c r="G213" s="7"/>
      <c r="H213" t="s">
        <v>2065</v>
      </c>
      <c r="I213" t="s">
        <v>2065</v>
      </c>
    </row>
    <row r="214" spans="1:9">
      <c r="A214" t="s">
        <v>1429</v>
      </c>
      <c r="B214" t="s">
        <v>51</v>
      </c>
      <c r="C214" s="7"/>
      <c r="D214" t="s">
        <v>2066</v>
      </c>
      <c r="E214" t="s">
        <v>1429</v>
      </c>
      <c r="H214" s="7"/>
      <c r="I214" s="7"/>
    </row>
    <row r="215" spans="1:9">
      <c r="A215" t="s">
        <v>2067</v>
      </c>
      <c r="B215" t="s">
        <v>42</v>
      </c>
      <c r="C215" s="7"/>
      <c r="D215" s="7"/>
      <c r="E215" s="7"/>
      <c r="F215" s="7"/>
      <c r="G215" s="7"/>
      <c r="H215" s="7"/>
      <c r="I215" s="7"/>
    </row>
    <row r="216" spans="1:9">
      <c r="A216" t="s">
        <v>2068</v>
      </c>
      <c r="B216" t="s">
        <v>42</v>
      </c>
      <c r="C216" s="7"/>
      <c r="D216" t="s">
        <v>1663</v>
      </c>
      <c r="E216" t="s">
        <v>2069</v>
      </c>
      <c r="H216" t="s">
        <v>2070</v>
      </c>
      <c r="I216" t="s">
        <v>2070</v>
      </c>
    </row>
    <row r="217" spans="1:9">
      <c r="A217" t="s">
        <v>2071</v>
      </c>
      <c r="B217" t="s">
        <v>42</v>
      </c>
      <c r="C217" s="7"/>
      <c r="D217" t="s">
        <v>1663</v>
      </c>
      <c r="E217" t="s">
        <v>2069</v>
      </c>
      <c r="H217" t="s">
        <v>2072</v>
      </c>
      <c r="I217" s="7"/>
    </row>
    <row r="218" spans="1:9">
      <c r="A218" t="s">
        <v>2073</v>
      </c>
      <c r="B218" t="s">
        <v>42</v>
      </c>
      <c r="C218" s="7"/>
      <c r="D218" t="s">
        <v>1663</v>
      </c>
      <c r="E218" t="s">
        <v>2069</v>
      </c>
      <c r="H218" t="s">
        <v>2074</v>
      </c>
      <c r="I218" s="7"/>
    </row>
    <row r="219" spans="1:9">
      <c r="A219" t="s">
        <v>2075</v>
      </c>
      <c r="B219" t="s">
        <v>42</v>
      </c>
      <c r="C219" s="7"/>
      <c r="D219" t="s">
        <v>1663</v>
      </c>
      <c r="E219" t="s">
        <v>2069</v>
      </c>
      <c r="H219" t="s">
        <v>2076</v>
      </c>
      <c r="I219" s="7"/>
    </row>
    <row r="220" spans="1:9">
      <c r="A220" t="s">
        <v>2077</v>
      </c>
      <c r="B220" t="s">
        <v>42</v>
      </c>
      <c r="C220" s="7"/>
      <c r="D220" t="s">
        <v>1663</v>
      </c>
      <c r="E220" t="s">
        <v>2069</v>
      </c>
      <c r="H220" t="s">
        <v>2078</v>
      </c>
      <c r="I220" s="7"/>
    </row>
    <row r="221" spans="1:9">
      <c r="A221" t="s">
        <v>2079</v>
      </c>
      <c r="B221" t="s">
        <v>42</v>
      </c>
      <c r="C221" s="7"/>
      <c r="D221" t="s">
        <v>1663</v>
      </c>
      <c r="E221" t="s">
        <v>2069</v>
      </c>
      <c r="H221" t="s">
        <v>2080</v>
      </c>
      <c r="I221" s="7"/>
    </row>
    <row r="222" spans="1:9">
      <c r="A222" t="s">
        <v>2081</v>
      </c>
      <c r="B222" t="s">
        <v>42</v>
      </c>
      <c r="C222" s="7"/>
      <c r="D222" t="s">
        <v>1663</v>
      </c>
      <c r="E222" t="s">
        <v>2069</v>
      </c>
      <c r="H222" t="s">
        <v>2082</v>
      </c>
      <c r="I222" t="s">
        <v>2082</v>
      </c>
    </row>
    <row r="223" spans="1:9">
      <c r="A223" t="s">
        <v>2083</v>
      </c>
      <c r="B223" t="s">
        <v>42</v>
      </c>
      <c r="C223" s="7"/>
      <c r="D223" t="s">
        <v>1631</v>
      </c>
      <c r="E223" t="s">
        <v>2069</v>
      </c>
      <c r="H223" t="s">
        <v>2084</v>
      </c>
      <c r="I223" s="7"/>
    </row>
    <row r="224" spans="1:9">
      <c r="A224" t="s">
        <v>2085</v>
      </c>
      <c r="B224" t="s">
        <v>42</v>
      </c>
      <c r="C224" s="7"/>
      <c r="D224" s="7"/>
      <c r="E224" t="s">
        <v>2069</v>
      </c>
      <c r="H224" t="s">
        <v>2086</v>
      </c>
      <c r="I224" s="7"/>
    </row>
    <row r="225" spans="1:9">
      <c r="A225" t="s">
        <v>2087</v>
      </c>
      <c r="B225" t="s">
        <v>42</v>
      </c>
      <c r="C225" s="7"/>
      <c r="D225" t="s">
        <v>1663</v>
      </c>
      <c r="E225" t="s">
        <v>2069</v>
      </c>
      <c r="H225" t="s">
        <v>2088</v>
      </c>
      <c r="I225" s="7"/>
    </row>
    <row r="226" spans="1:9">
      <c r="A226" t="s">
        <v>2089</v>
      </c>
      <c r="B226" t="s">
        <v>42</v>
      </c>
      <c r="C226" s="7"/>
      <c r="D226" t="s">
        <v>1541</v>
      </c>
      <c r="E226" t="s">
        <v>2069</v>
      </c>
      <c r="H226" t="s">
        <v>2090</v>
      </c>
      <c r="I226" s="7"/>
    </row>
    <row r="227" spans="1:9">
      <c r="A227" t="s">
        <v>2091</v>
      </c>
      <c r="B227" t="s">
        <v>42</v>
      </c>
      <c r="C227" s="7"/>
      <c r="D227" t="s">
        <v>1663</v>
      </c>
      <c r="E227" t="s">
        <v>2069</v>
      </c>
      <c r="H227" t="s">
        <v>2092</v>
      </c>
      <c r="I227" s="7"/>
    </row>
    <row r="228" spans="1:9">
      <c r="A228" t="s">
        <v>2093</v>
      </c>
      <c r="B228" t="s">
        <v>42</v>
      </c>
      <c r="C228" s="7"/>
      <c r="D228" t="s">
        <v>1663</v>
      </c>
      <c r="E228" t="s">
        <v>2069</v>
      </c>
      <c r="H228" t="s">
        <v>2094</v>
      </c>
      <c r="I228" t="s">
        <v>2094</v>
      </c>
    </row>
    <row r="229" spans="1:9">
      <c r="A229" t="s">
        <v>2095</v>
      </c>
      <c r="B229" t="s">
        <v>42</v>
      </c>
      <c r="C229" s="7"/>
      <c r="D229" t="s">
        <v>1663</v>
      </c>
      <c r="E229" t="s">
        <v>2069</v>
      </c>
      <c r="H229" t="s">
        <v>2096</v>
      </c>
      <c r="I229" s="7"/>
    </row>
    <row r="230" spans="1:9">
      <c r="A230" t="s">
        <v>2097</v>
      </c>
      <c r="B230" t="s">
        <v>42</v>
      </c>
      <c r="C230" s="7"/>
      <c r="D230" t="s">
        <v>1663</v>
      </c>
      <c r="E230" t="s">
        <v>2069</v>
      </c>
      <c r="H230" t="s">
        <v>2098</v>
      </c>
      <c r="I230" t="s">
        <v>2098</v>
      </c>
    </row>
    <row r="231" spans="1:9">
      <c r="A231" t="s">
        <v>2099</v>
      </c>
      <c r="B231" t="s">
        <v>42</v>
      </c>
      <c r="C231" s="7"/>
      <c r="D231" t="s">
        <v>1663</v>
      </c>
      <c r="E231" t="s">
        <v>2069</v>
      </c>
      <c r="H231" t="s">
        <v>2100</v>
      </c>
      <c r="I231" t="s">
        <v>2100</v>
      </c>
    </row>
    <row r="232" spans="1:9">
      <c r="A232" t="s">
        <v>2101</v>
      </c>
      <c r="B232" t="s">
        <v>42</v>
      </c>
      <c r="C232" s="7"/>
      <c r="D232" t="s">
        <v>1663</v>
      </c>
      <c r="E232" t="s">
        <v>2069</v>
      </c>
      <c r="H232" t="s">
        <v>2102</v>
      </c>
      <c r="I232" t="s">
        <v>2102</v>
      </c>
    </row>
    <row r="233" spans="1:9">
      <c r="A233" t="s">
        <v>2103</v>
      </c>
      <c r="B233" t="s">
        <v>42</v>
      </c>
      <c r="C233" s="7"/>
      <c r="D233" t="s">
        <v>1663</v>
      </c>
      <c r="E233" t="s">
        <v>2069</v>
      </c>
      <c r="H233" t="s">
        <v>2104</v>
      </c>
      <c r="I233" t="s">
        <v>2104</v>
      </c>
    </row>
    <row r="234" spans="1:9">
      <c r="A234" t="s">
        <v>2105</v>
      </c>
      <c r="B234" t="s">
        <v>42</v>
      </c>
      <c r="C234" s="7"/>
      <c r="D234" t="s">
        <v>1663</v>
      </c>
      <c r="E234" t="s">
        <v>2069</v>
      </c>
      <c r="H234" t="s">
        <v>2106</v>
      </c>
      <c r="I234" t="s">
        <v>2106</v>
      </c>
    </row>
    <row r="235" spans="1:9">
      <c r="A235" t="s">
        <v>2107</v>
      </c>
      <c r="B235" t="s">
        <v>42</v>
      </c>
      <c r="C235" s="7"/>
      <c r="D235" s="7"/>
      <c r="E235" t="s">
        <v>2069</v>
      </c>
      <c r="H235" t="s">
        <v>2108</v>
      </c>
      <c r="I235" t="s">
        <v>2108</v>
      </c>
    </row>
    <row r="236" spans="1:9">
      <c r="A236" t="s">
        <v>2109</v>
      </c>
      <c r="B236" t="s">
        <v>42</v>
      </c>
      <c r="C236" s="7"/>
      <c r="D236" t="s">
        <v>1663</v>
      </c>
      <c r="E236" t="s">
        <v>2069</v>
      </c>
      <c r="H236" t="s">
        <v>2110</v>
      </c>
      <c r="I236" t="s">
        <v>2110</v>
      </c>
    </row>
    <row r="237" spans="1:9">
      <c r="A237" t="s">
        <v>2111</v>
      </c>
      <c r="B237" t="s">
        <v>42</v>
      </c>
      <c r="C237" s="7"/>
      <c r="D237" t="s">
        <v>1663</v>
      </c>
      <c r="E237" t="s">
        <v>2069</v>
      </c>
      <c r="H237" t="s">
        <v>2112</v>
      </c>
      <c r="I237" t="s">
        <v>2112</v>
      </c>
    </row>
    <row r="238" spans="1:9">
      <c r="A238" t="s">
        <v>2113</v>
      </c>
      <c r="B238" t="s">
        <v>42</v>
      </c>
      <c r="C238" s="7"/>
      <c r="D238" t="s">
        <v>1663</v>
      </c>
      <c r="E238" t="s">
        <v>2069</v>
      </c>
      <c r="H238" t="s">
        <v>2114</v>
      </c>
      <c r="I238" t="s">
        <v>2114</v>
      </c>
    </row>
    <row r="239" spans="1:9">
      <c r="A239" t="s">
        <v>2115</v>
      </c>
      <c r="B239" t="s">
        <v>42</v>
      </c>
      <c r="C239" s="7"/>
      <c r="D239" t="s">
        <v>1663</v>
      </c>
      <c r="E239" t="s">
        <v>2069</v>
      </c>
      <c r="H239" t="s">
        <v>2116</v>
      </c>
      <c r="I239" t="s">
        <v>2116</v>
      </c>
    </row>
    <row r="240" spans="1:9">
      <c r="A240" t="s">
        <v>2117</v>
      </c>
      <c r="B240" t="s">
        <v>42</v>
      </c>
      <c r="C240" s="7"/>
      <c r="D240" t="s">
        <v>1663</v>
      </c>
      <c r="E240" t="s">
        <v>2069</v>
      </c>
      <c r="H240" t="s">
        <v>2118</v>
      </c>
      <c r="I240" t="s">
        <v>2118</v>
      </c>
    </row>
    <row r="241" spans="1:9">
      <c r="A241" t="s">
        <v>2119</v>
      </c>
      <c r="B241" t="s">
        <v>42</v>
      </c>
      <c r="C241" s="7"/>
      <c r="D241" t="s">
        <v>1663</v>
      </c>
      <c r="E241" t="s">
        <v>2069</v>
      </c>
      <c r="H241" t="s">
        <v>2120</v>
      </c>
      <c r="I241" t="s">
        <v>2120</v>
      </c>
    </row>
    <row r="242" spans="1:9">
      <c r="A242" t="s">
        <v>2121</v>
      </c>
      <c r="B242" t="s">
        <v>42</v>
      </c>
      <c r="C242" s="7"/>
      <c r="D242" t="s">
        <v>1663</v>
      </c>
      <c r="E242" t="s">
        <v>2069</v>
      </c>
      <c r="H242" t="s">
        <v>2122</v>
      </c>
      <c r="I242" t="s">
        <v>2122</v>
      </c>
    </row>
    <row r="243" spans="1:9">
      <c r="A243" t="s">
        <v>2123</v>
      </c>
      <c r="B243" t="s">
        <v>42</v>
      </c>
      <c r="C243" s="7"/>
      <c r="D243" s="7"/>
      <c r="E243" t="s">
        <v>2069</v>
      </c>
      <c r="H243" t="s">
        <v>2124</v>
      </c>
      <c r="I243" s="7"/>
    </row>
    <row r="244" spans="1:9">
      <c r="A244" t="s">
        <v>2125</v>
      </c>
      <c r="B244" t="s">
        <v>42</v>
      </c>
      <c r="C244" s="7"/>
      <c r="D244" t="s">
        <v>1663</v>
      </c>
      <c r="E244" t="s">
        <v>2069</v>
      </c>
      <c r="H244" t="s">
        <v>2126</v>
      </c>
      <c r="I244" t="s">
        <v>2126</v>
      </c>
    </row>
    <row r="245" spans="1:9">
      <c r="A245" t="s">
        <v>2127</v>
      </c>
      <c r="B245" t="s">
        <v>42</v>
      </c>
      <c r="C245" s="7"/>
      <c r="D245" t="s">
        <v>1663</v>
      </c>
      <c r="E245" t="s">
        <v>2069</v>
      </c>
      <c r="H245" t="s">
        <v>2128</v>
      </c>
      <c r="I245" t="s">
        <v>2128</v>
      </c>
    </row>
    <row r="246" spans="1:9">
      <c r="A246" t="s">
        <v>2129</v>
      </c>
      <c r="B246" t="s">
        <v>42</v>
      </c>
      <c r="C246" s="7"/>
      <c r="D246" t="s">
        <v>1663</v>
      </c>
      <c r="E246" t="s">
        <v>2069</v>
      </c>
      <c r="H246" t="s">
        <v>2130</v>
      </c>
      <c r="I246" t="s">
        <v>2130</v>
      </c>
    </row>
    <row r="247" spans="1:9">
      <c r="A247" t="s">
        <v>2131</v>
      </c>
      <c r="B247" t="s">
        <v>42</v>
      </c>
      <c r="C247" s="7"/>
      <c r="D247" t="s">
        <v>1663</v>
      </c>
      <c r="E247" t="s">
        <v>2069</v>
      </c>
      <c r="H247" t="s">
        <v>2132</v>
      </c>
      <c r="I247" t="s">
        <v>2132</v>
      </c>
    </row>
    <row r="248" spans="1:9">
      <c r="A248" t="s">
        <v>2133</v>
      </c>
      <c r="B248" t="s">
        <v>42</v>
      </c>
      <c r="C248" s="7"/>
      <c r="D248" t="s">
        <v>1663</v>
      </c>
      <c r="E248" t="s">
        <v>2069</v>
      </c>
      <c r="H248" t="s">
        <v>2134</v>
      </c>
      <c r="I248" t="s">
        <v>2134</v>
      </c>
    </row>
    <row r="249" spans="1:9">
      <c r="A249" t="s">
        <v>2135</v>
      </c>
      <c r="B249" t="s">
        <v>42</v>
      </c>
      <c r="C249" s="7"/>
      <c r="D249" t="s">
        <v>1663</v>
      </c>
      <c r="E249" t="s">
        <v>2069</v>
      </c>
      <c r="H249" t="s">
        <v>2136</v>
      </c>
      <c r="I249" s="7"/>
    </row>
    <row r="250" spans="1:9">
      <c r="A250" t="s">
        <v>2137</v>
      </c>
      <c r="B250" t="s">
        <v>42</v>
      </c>
      <c r="C250" s="7"/>
      <c r="D250" t="s">
        <v>1663</v>
      </c>
      <c r="E250" t="s">
        <v>2069</v>
      </c>
      <c r="H250" t="s">
        <v>2138</v>
      </c>
      <c r="I250" t="s">
        <v>2138</v>
      </c>
    </row>
    <row r="251" spans="1:9">
      <c r="A251" t="s">
        <v>2139</v>
      </c>
      <c r="B251" t="s">
        <v>42</v>
      </c>
      <c r="C251" s="7"/>
      <c r="D251" t="s">
        <v>1663</v>
      </c>
      <c r="E251" t="s">
        <v>2069</v>
      </c>
      <c r="H251" t="s">
        <v>2140</v>
      </c>
      <c r="I251" t="s">
        <v>2140</v>
      </c>
    </row>
    <row r="252" spans="1:9">
      <c r="A252" t="s">
        <v>2141</v>
      </c>
      <c r="B252" t="s">
        <v>42</v>
      </c>
      <c r="C252" s="7"/>
      <c r="D252" t="s">
        <v>1663</v>
      </c>
      <c r="E252" t="s">
        <v>2069</v>
      </c>
      <c r="H252" t="s">
        <v>2142</v>
      </c>
      <c r="I252" t="s">
        <v>2142</v>
      </c>
    </row>
    <row r="253" spans="1:9">
      <c r="A253" t="s">
        <v>2143</v>
      </c>
      <c r="B253" t="s">
        <v>42</v>
      </c>
      <c r="C253" s="7"/>
      <c r="D253" t="s">
        <v>1656</v>
      </c>
      <c r="E253" t="s">
        <v>2069</v>
      </c>
      <c r="H253" t="s">
        <v>2144</v>
      </c>
      <c r="I253" t="s">
        <v>2144</v>
      </c>
    </row>
    <row r="254" spans="1:9">
      <c r="A254" t="s">
        <v>2145</v>
      </c>
      <c r="B254" t="s">
        <v>42</v>
      </c>
      <c r="C254" s="7"/>
      <c r="D254" t="s">
        <v>1663</v>
      </c>
      <c r="E254" t="s">
        <v>2069</v>
      </c>
      <c r="H254" t="s">
        <v>2146</v>
      </c>
      <c r="I254" t="s">
        <v>2146</v>
      </c>
    </row>
    <row r="255" spans="1:9">
      <c r="A255" t="s">
        <v>2147</v>
      </c>
      <c r="B255" t="s">
        <v>42</v>
      </c>
      <c r="C255" s="7"/>
      <c r="D255" t="s">
        <v>1663</v>
      </c>
      <c r="E255" t="s">
        <v>2069</v>
      </c>
      <c r="H255" t="s">
        <v>2148</v>
      </c>
      <c r="I255" t="s">
        <v>2148</v>
      </c>
    </row>
    <row r="256" spans="1:9">
      <c r="A256" t="s">
        <v>2149</v>
      </c>
      <c r="B256" t="s">
        <v>42</v>
      </c>
      <c r="C256" s="7"/>
      <c r="D256" t="s">
        <v>1663</v>
      </c>
      <c r="E256" t="s">
        <v>2069</v>
      </c>
      <c r="H256" t="s">
        <v>2150</v>
      </c>
      <c r="I256" t="s">
        <v>2150</v>
      </c>
    </row>
    <row r="257" spans="1:9">
      <c r="A257" t="s">
        <v>2151</v>
      </c>
      <c r="B257" t="s">
        <v>42</v>
      </c>
      <c r="C257" s="7"/>
      <c r="D257" t="s">
        <v>1663</v>
      </c>
      <c r="E257" t="s">
        <v>2069</v>
      </c>
      <c r="H257" t="s">
        <v>2152</v>
      </c>
      <c r="I257" t="s">
        <v>2152</v>
      </c>
    </row>
    <row r="258" spans="1:9">
      <c r="A258" t="s">
        <v>2153</v>
      </c>
      <c r="B258" t="s">
        <v>42</v>
      </c>
      <c r="C258" s="7"/>
      <c r="D258" t="s">
        <v>1663</v>
      </c>
      <c r="E258" t="s">
        <v>2069</v>
      </c>
      <c r="H258" t="s">
        <v>2154</v>
      </c>
      <c r="I258" s="7"/>
    </row>
    <row r="259" spans="1:9">
      <c r="A259" t="s">
        <v>2155</v>
      </c>
      <c r="B259" t="s">
        <v>42</v>
      </c>
      <c r="C259" s="7"/>
      <c r="D259" t="s">
        <v>1663</v>
      </c>
      <c r="E259" t="s">
        <v>2069</v>
      </c>
      <c r="H259" t="s">
        <v>2156</v>
      </c>
      <c r="I259" t="s">
        <v>2156</v>
      </c>
    </row>
    <row r="260" spans="1:9">
      <c r="A260" t="s">
        <v>2157</v>
      </c>
      <c r="B260" t="s">
        <v>42</v>
      </c>
      <c r="C260" s="7"/>
      <c r="D260" t="s">
        <v>1663</v>
      </c>
      <c r="E260" t="s">
        <v>2069</v>
      </c>
      <c r="H260" t="s">
        <v>2158</v>
      </c>
      <c r="I260" t="s">
        <v>2158</v>
      </c>
    </row>
    <row r="261" spans="1:9">
      <c r="A261" t="s">
        <v>2159</v>
      </c>
      <c r="B261" t="s">
        <v>42</v>
      </c>
      <c r="C261" s="7"/>
      <c r="D261" t="s">
        <v>1663</v>
      </c>
      <c r="E261" t="s">
        <v>2069</v>
      </c>
      <c r="H261" t="s">
        <v>2160</v>
      </c>
      <c r="I261" t="s">
        <v>2160</v>
      </c>
    </row>
    <row r="262" spans="1:9">
      <c r="A262" t="s">
        <v>2161</v>
      </c>
      <c r="B262" t="s">
        <v>42</v>
      </c>
      <c r="C262" s="7"/>
      <c r="D262" t="s">
        <v>1663</v>
      </c>
      <c r="E262" t="s">
        <v>2069</v>
      </c>
      <c r="H262" t="s">
        <v>2162</v>
      </c>
      <c r="I262" t="s">
        <v>2162</v>
      </c>
    </row>
    <row r="263" spans="1:9">
      <c r="A263" t="s">
        <v>2163</v>
      </c>
      <c r="B263" t="s">
        <v>42</v>
      </c>
      <c r="C263" s="7"/>
      <c r="D263" t="s">
        <v>1663</v>
      </c>
      <c r="E263" t="s">
        <v>2069</v>
      </c>
      <c r="H263" t="s">
        <v>2164</v>
      </c>
      <c r="I263" t="s">
        <v>2164</v>
      </c>
    </row>
    <row r="264" spans="1:9">
      <c r="A264" t="s">
        <v>2165</v>
      </c>
      <c r="B264" t="s">
        <v>42</v>
      </c>
      <c r="C264" s="7"/>
      <c r="D264" t="s">
        <v>1656</v>
      </c>
      <c r="E264" t="s">
        <v>2069</v>
      </c>
      <c r="H264" t="s">
        <v>2166</v>
      </c>
      <c r="I264" t="s">
        <v>2166</v>
      </c>
    </row>
    <row r="265" spans="1:9">
      <c r="A265" t="s">
        <v>2167</v>
      </c>
      <c r="B265" t="s">
        <v>42</v>
      </c>
      <c r="C265" s="7"/>
      <c r="D265" t="s">
        <v>1663</v>
      </c>
      <c r="E265" t="s">
        <v>2069</v>
      </c>
      <c r="H265" t="s">
        <v>2168</v>
      </c>
      <c r="I265" t="s">
        <v>2168</v>
      </c>
    </row>
    <row r="266" spans="1:9">
      <c r="A266" t="s">
        <v>2169</v>
      </c>
      <c r="B266" t="s">
        <v>42</v>
      </c>
      <c r="C266" s="7"/>
      <c r="D266" t="s">
        <v>1663</v>
      </c>
      <c r="E266" t="s">
        <v>2069</v>
      </c>
      <c r="H266" t="s">
        <v>2170</v>
      </c>
      <c r="I266" t="s">
        <v>2170</v>
      </c>
    </row>
    <row r="267" spans="1:9">
      <c r="A267" t="s">
        <v>2171</v>
      </c>
      <c r="B267" t="s">
        <v>42</v>
      </c>
      <c r="C267" s="7"/>
      <c r="D267" t="s">
        <v>1663</v>
      </c>
      <c r="E267" t="s">
        <v>2069</v>
      </c>
      <c r="H267" t="s">
        <v>2172</v>
      </c>
      <c r="I267" s="7"/>
    </row>
    <row r="268" spans="1:9">
      <c r="A268" t="s">
        <v>2173</v>
      </c>
      <c r="B268" t="s">
        <v>42</v>
      </c>
      <c r="C268" s="7"/>
      <c r="D268" t="s">
        <v>1663</v>
      </c>
      <c r="E268" t="s">
        <v>2069</v>
      </c>
      <c r="H268" t="s">
        <v>2174</v>
      </c>
      <c r="I268" t="s">
        <v>2174</v>
      </c>
    </row>
    <row r="269" spans="1:9">
      <c r="A269" t="s">
        <v>2175</v>
      </c>
      <c r="B269" t="s">
        <v>42</v>
      </c>
      <c r="C269" s="7"/>
      <c r="D269" t="s">
        <v>1663</v>
      </c>
      <c r="E269" t="s">
        <v>2069</v>
      </c>
      <c r="H269" t="s">
        <v>2176</v>
      </c>
      <c r="I269" s="7"/>
    </row>
    <row r="270" spans="1:9">
      <c r="A270" t="s">
        <v>2177</v>
      </c>
      <c r="B270" t="s">
        <v>42</v>
      </c>
      <c r="C270" s="7"/>
      <c r="D270" t="s">
        <v>1663</v>
      </c>
      <c r="E270" t="s">
        <v>2069</v>
      </c>
      <c r="H270" t="s">
        <v>2178</v>
      </c>
      <c r="I270" t="s">
        <v>2178</v>
      </c>
    </row>
    <row r="271" spans="1:9">
      <c r="A271" t="s">
        <v>2179</v>
      </c>
      <c r="B271" t="s">
        <v>42</v>
      </c>
      <c r="C271" s="7"/>
      <c r="D271" t="s">
        <v>1663</v>
      </c>
      <c r="E271" t="s">
        <v>2069</v>
      </c>
      <c r="H271" t="s">
        <v>2180</v>
      </c>
      <c r="I271" t="s">
        <v>2180</v>
      </c>
    </row>
    <row r="272" spans="1:9">
      <c r="A272" t="s">
        <v>2181</v>
      </c>
      <c r="B272" t="s">
        <v>42</v>
      </c>
      <c r="C272" s="7"/>
      <c r="D272" t="s">
        <v>1663</v>
      </c>
      <c r="E272" t="s">
        <v>2069</v>
      </c>
      <c r="H272" t="s">
        <v>2182</v>
      </c>
      <c r="I272" t="s">
        <v>2182</v>
      </c>
    </row>
    <row r="273" spans="1:9">
      <c r="A273" t="s">
        <v>2183</v>
      </c>
      <c r="B273" t="s">
        <v>42</v>
      </c>
      <c r="C273" s="7"/>
      <c r="D273" t="s">
        <v>1663</v>
      </c>
      <c r="E273" t="s">
        <v>2069</v>
      </c>
      <c r="H273" t="s">
        <v>2184</v>
      </c>
      <c r="I273" t="s">
        <v>2184</v>
      </c>
    </row>
    <row r="274" spans="1:9">
      <c r="A274" t="s">
        <v>2185</v>
      </c>
      <c r="B274" t="s">
        <v>42</v>
      </c>
      <c r="C274" s="7"/>
      <c r="D274" t="s">
        <v>1663</v>
      </c>
      <c r="E274" t="s">
        <v>2069</v>
      </c>
      <c r="H274" t="s">
        <v>2186</v>
      </c>
      <c r="I274" t="s">
        <v>2186</v>
      </c>
    </row>
    <row r="275" spans="1:9">
      <c r="A275" t="s">
        <v>2187</v>
      </c>
      <c r="B275" t="s">
        <v>42</v>
      </c>
      <c r="C275" s="7"/>
      <c r="D275" t="s">
        <v>1663</v>
      </c>
      <c r="E275" t="s">
        <v>2069</v>
      </c>
      <c r="H275" t="s">
        <v>2188</v>
      </c>
      <c r="I275" t="s">
        <v>2188</v>
      </c>
    </row>
    <row r="276" spans="1:9">
      <c r="A276" t="s">
        <v>2189</v>
      </c>
      <c r="B276" t="s">
        <v>42</v>
      </c>
      <c r="C276" s="7"/>
      <c r="D276" t="s">
        <v>1663</v>
      </c>
      <c r="E276" t="s">
        <v>2069</v>
      </c>
      <c r="H276" t="s">
        <v>2190</v>
      </c>
      <c r="I276" t="s">
        <v>2190</v>
      </c>
    </row>
    <row r="277" spans="1:9">
      <c r="A277" t="s">
        <v>2191</v>
      </c>
      <c r="B277" t="s">
        <v>42</v>
      </c>
      <c r="C277" s="7"/>
      <c r="D277" t="s">
        <v>1663</v>
      </c>
      <c r="E277" t="s">
        <v>2069</v>
      </c>
      <c r="H277" t="s">
        <v>2192</v>
      </c>
      <c r="I277" t="s">
        <v>2192</v>
      </c>
    </row>
    <row r="278" spans="1:9">
      <c r="A278" t="s">
        <v>2193</v>
      </c>
      <c r="B278" t="s">
        <v>42</v>
      </c>
      <c r="C278" s="7"/>
      <c r="D278" t="s">
        <v>1663</v>
      </c>
      <c r="E278" t="s">
        <v>2069</v>
      </c>
      <c r="H278" t="s">
        <v>2194</v>
      </c>
      <c r="I278" t="s">
        <v>2194</v>
      </c>
    </row>
    <row r="279" spans="1:9">
      <c r="A279" t="s">
        <v>2195</v>
      </c>
      <c r="B279" t="s">
        <v>42</v>
      </c>
      <c r="C279" s="7"/>
      <c r="D279" t="s">
        <v>1663</v>
      </c>
      <c r="E279" t="s">
        <v>2069</v>
      </c>
      <c r="H279" t="s">
        <v>2196</v>
      </c>
      <c r="I279" t="s">
        <v>2196</v>
      </c>
    </row>
    <row r="280" spans="1:9">
      <c r="A280" t="s">
        <v>2197</v>
      </c>
      <c r="B280" t="s">
        <v>42</v>
      </c>
      <c r="C280" s="7"/>
      <c r="D280" t="s">
        <v>1663</v>
      </c>
      <c r="E280" t="s">
        <v>2069</v>
      </c>
      <c r="H280" t="s">
        <v>2198</v>
      </c>
      <c r="I280" t="s">
        <v>2198</v>
      </c>
    </row>
    <row r="281" spans="1:9">
      <c r="A281" t="s">
        <v>2199</v>
      </c>
      <c r="B281" t="s">
        <v>42</v>
      </c>
      <c r="C281" s="7"/>
      <c r="D281" t="s">
        <v>1663</v>
      </c>
      <c r="E281" t="s">
        <v>2069</v>
      </c>
      <c r="H281" t="s">
        <v>2200</v>
      </c>
      <c r="I281" t="s">
        <v>2200</v>
      </c>
    </row>
    <row r="282" spans="1:9">
      <c r="A282" t="s">
        <v>2201</v>
      </c>
      <c r="B282" t="s">
        <v>42</v>
      </c>
      <c r="C282" s="7"/>
      <c r="D282" t="s">
        <v>1663</v>
      </c>
      <c r="E282" t="s">
        <v>2069</v>
      </c>
      <c r="H282" t="s">
        <v>2202</v>
      </c>
      <c r="I282" t="s">
        <v>2202</v>
      </c>
    </row>
    <row r="283" spans="1:9">
      <c r="A283" t="s">
        <v>2203</v>
      </c>
      <c r="B283" t="s">
        <v>42</v>
      </c>
      <c r="C283" s="7"/>
      <c r="D283" t="s">
        <v>1663</v>
      </c>
      <c r="E283" t="s">
        <v>2069</v>
      </c>
      <c r="H283" t="s">
        <v>2204</v>
      </c>
      <c r="I283" t="s">
        <v>2204</v>
      </c>
    </row>
    <row r="284" spans="1:9">
      <c r="A284" t="s">
        <v>2205</v>
      </c>
      <c r="B284" t="s">
        <v>42</v>
      </c>
      <c r="C284" s="7"/>
      <c r="D284" t="s">
        <v>1663</v>
      </c>
      <c r="E284" t="s">
        <v>2069</v>
      </c>
      <c r="H284" t="s">
        <v>2206</v>
      </c>
      <c r="I284" t="s">
        <v>2206</v>
      </c>
    </row>
    <row r="285" spans="1:9">
      <c r="A285" t="s">
        <v>2207</v>
      </c>
      <c r="B285" t="s">
        <v>42</v>
      </c>
      <c r="C285" s="7"/>
      <c r="D285" t="s">
        <v>1663</v>
      </c>
      <c r="E285" t="s">
        <v>2069</v>
      </c>
      <c r="H285" t="s">
        <v>2208</v>
      </c>
      <c r="I285" t="s">
        <v>2208</v>
      </c>
    </row>
    <row r="286" spans="1:9">
      <c r="A286" t="s">
        <v>2209</v>
      </c>
      <c r="B286" t="s">
        <v>42</v>
      </c>
      <c r="C286" s="7"/>
      <c r="D286" t="s">
        <v>1663</v>
      </c>
      <c r="E286" t="s">
        <v>2069</v>
      </c>
      <c r="H286" t="s">
        <v>2070</v>
      </c>
      <c r="I286" t="s">
        <v>2070</v>
      </c>
    </row>
    <row r="287" spans="1:9">
      <c r="A287" t="s">
        <v>2210</v>
      </c>
      <c r="B287" t="s">
        <v>42</v>
      </c>
      <c r="C287" s="7"/>
      <c r="D287" t="s">
        <v>1663</v>
      </c>
      <c r="E287" t="s">
        <v>2069</v>
      </c>
      <c r="H287" t="s">
        <v>2211</v>
      </c>
      <c r="I287" t="s">
        <v>2211</v>
      </c>
    </row>
    <row r="288" spans="1:9">
      <c r="A288" t="s">
        <v>2212</v>
      </c>
      <c r="B288" t="s">
        <v>42</v>
      </c>
      <c r="C288" s="7"/>
      <c r="D288" t="s">
        <v>1663</v>
      </c>
      <c r="E288" t="s">
        <v>2069</v>
      </c>
      <c r="H288" t="s">
        <v>2213</v>
      </c>
      <c r="I288" t="s">
        <v>2213</v>
      </c>
    </row>
    <row r="289" spans="1:9">
      <c r="A289" t="s">
        <v>2214</v>
      </c>
      <c r="B289" t="s">
        <v>42</v>
      </c>
      <c r="C289" s="7"/>
      <c r="D289" t="s">
        <v>1663</v>
      </c>
      <c r="E289" t="s">
        <v>2069</v>
      </c>
      <c r="H289" t="s">
        <v>2215</v>
      </c>
      <c r="I289" t="s">
        <v>2215</v>
      </c>
    </row>
    <row r="290" spans="1:9">
      <c r="A290" t="s">
        <v>2216</v>
      </c>
      <c r="B290" t="s">
        <v>42</v>
      </c>
      <c r="C290" s="7"/>
      <c r="D290" t="s">
        <v>1663</v>
      </c>
      <c r="E290" t="s">
        <v>2069</v>
      </c>
      <c r="H290" t="s">
        <v>2217</v>
      </c>
      <c r="I290" t="s">
        <v>2217</v>
      </c>
    </row>
    <row r="291" spans="1:9">
      <c r="A291" t="s">
        <v>2218</v>
      </c>
      <c r="B291" t="s">
        <v>42</v>
      </c>
      <c r="C291" s="7"/>
      <c r="D291" t="s">
        <v>1663</v>
      </c>
      <c r="E291" t="s">
        <v>2069</v>
      </c>
      <c r="H291" t="s">
        <v>2219</v>
      </c>
      <c r="I291" t="s">
        <v>2219</v>
      </c>
    </row>
    <row r="292" spans="1:9">
      <c r="A292" t="s">
        <v>2220</v>
      </c>
      <c r="B292" t="s">
        <v>42</v>
      </c>
      <c r="C292" s="7"/>
      <c r="D292" t="s">
        <v>1663</v>
      </c>
      <c r="E292" t="s">
        <v>2069</v>
      </c>
      <c r="H292" t="s">
        <v>2221</v>
      </c>
      <c r="I292" t="s">
        <v>2221</v>
      </c>
    </row>
    <row r="293" spans="1:9">
      <c r="A293" t="s">
        <v>2222</v>
      </c>
      <c r="B293" t="s">
        <v>42</v>
      </c>
      <c r="C293" s="7"/>
      <c r="D293" t="s">
        <v>1663</v>
      </c>
      <c r="E293" t="s">
        <v>2069</v>
      </c>
      <c r="H293" t="s">
        <v>2223</v>
      </c>
      <c r="I293" t="s">
        <v>2223</v>
      </c>
    </row>
    <row r="294" spans="1:9">
      <c r="A294" t="s">
        <v>2224</v>
      </c>
      <c r="B294" t="s">
        <v>42</v>
      </c>
      <c r="C294" s="7"/>
      <c r="D294" t="s">
        <v>1663</v>
      </c>
      <c r="E294" t="s">
        <v>2069</v>
      </c>
      <c r="H294" t="s">
        <v>2225</v>
      </c>
      <c r="I294" t="s">
        <v>2225</v>
      </c>
    </row>
    <row r="295" spans="1:9">
      <c r="A295" t="s">
        <v>2226</v>
      </c>
      <c r="B295" t="s">
        <v>42</v>
      </c>
      <c r="C295" s="7"/>
      <c r="D295" t="s">
        <v>1663</v>
      </c>
      <c r="E295" t="s">
        <v>2069</v>
      </c>
      <c r="H295" t="s">
        <v>2227</v>
      </c>
      <c r="I295" t="s">
        <v>2227</v>
      </c>
    </row>
    <row r="296" spans="1:9">
      <c r="A296" t="s">
        <v>2228</v>
      </c>
      <c r="B296" t="s">
        <v>42</v>
      </c>
      <c r="C296" s="7"/>
      <c r="D296" t="s">
        <v>1663</v>
      </c>
      <c r="E296" t="s">
        <v>2069</v>
      </c>
      <c r="H296" t="s">
        <v>2070</v>
      </c>
      <c r="I296" t="s">
        <v>2070</v>
      </c>
    </row>
    <row r="297" spans="1:9">
      <c r="A297" t="s">
        <v>2229</v>
      </c>
      <c r="B297" t="s">
        <v>42</v>
      </c>
      <c r="C297" s="7"/>
      <c r="D297" t="s">
        <v>1663</v>
      </c>
      <c r="E297" t="s">
        <v>2069</v>
      </c>
      <c r="H297" t="s">
        <v>2230</v>
      </c>
      <c r="I297" t="s">
        <v>2230</v>
      </c>
    </row>
    <row r="298" spans="1:9">
      <c r="A298" t="s">
        <v>2231</v>
      </c>
      <c r="B298" t="s">
        <v>42</v>
      </c>
      <c r="C298" s="7"/>
      <c r="D298" t="s">
        <v>1663</v>
      </c>
      <c r="E298" t="s">
        <v>2069</v>
      </c>
      <c r="H298" t="s">
        <v>2232</v>
      </c>
      <c r="I298" t="s">
        <v>2232</v>
      </c>
    </row>
    <row r="299" spans="1:9">
      <c r="A299" t="s">
        <v>2233</v>
      </c>
      <c r="B299" t="s">
        <v>42</v>
      </c>
      <c r="C299" s="7"/>
      <c r="D299" t="s">
        <v>1663</v>
      </c>
      <c r="E299" t="s">
        <v>2069</v>
      </c>
      <c r="H299" t="s">
        <v>2234</v>
      </c>
      <c r="I299" t="s">
        <v>2234</v>
      </c>
    </row>
    <row r="300" spans="1:9">
      <c r="A300" t="s">
        <v>2235</v>
      </c>
      <c r="B300" t="s">
        <v>42</v>
      </c>
      <c r="C300" s="7"/>
      <c r="D300" t="s">
        <v>1663</v>
      </c>
      <c r="E300" t="s">
        <v>2069</v>
      </c>
      <c r="H300" t="s">
        <v>2236</v>
      </c>
      <c r="I300" t="s">
        <v>2236</v>
      </c>
    </row>
    <row r="301" spans="1:9">
      <c r="A301" t="s">
        <v>2237</v>
      </c>
      <c r="B301" t="s">
        <v>42</v>
      </c>
      <c r="C301" s="7"/>
      <c r="D301" t="s">
        <v>1663</v>
      </c>
      <c r="E301" t="s">
        <v>2069</v>
      </c>
      <c r="H301" t="s">
        <v>2238</v>
      </c>
      <c r="I301" t="s">
        <v>2238</v>
      </c>
    </row>
    <row r="302" spans="1:9">
      <c r="A302" t="s">
        <v>2239</v>
      </c>
      <c r="B302" t="s">
        <v>42</v>
      </c>
      <c r="C302" s="7"/>
      <c r="D302" t="s">
        <v>1663</v>
      </c>
      <c r="E302" t="s">
        <v>2069</v>
      </c>
      <c r="H302" t="s">
        <v>2240</v>
      </c>
      <c r="I302" t="s">
        <v>2240</v>
      </c>
    </row>
    <row r="303" spans="1:9">
      <c r="A303" t="s">
        <v>2241</v>
      </c>
      <c r="B303" t="s">
        <v>42</v>
      </c>
      <c r="C303" s="7"/>
      <c r="D303" t="s">
        <v>1663</v>
      </c>
      <c r="E303" t="s">
        <v>2069</v>
      </c>
      <c r="H303" t="s">
        <v>2242</v>
      </c>
      <c r="I303" t="s">
        <v>2242</v>
      </c>
    </row>
    <row r="304" spans="1:9">
      <c r="A304" t="s">
        <v>2243</v>
      </c>
      <c r="B304" t="s">
        <v>42</v>
      </c>
      <c r="C304" s="7"/>
      <c r="D304" t="s">
        <v>1663</v>
      </c>
      <c r="E304" t="s">
        <v>2069</v>
      </c>
      <c r="H304" t="s">
        <v>2244</v>
      </c>
      <c r="I304" t="s">
        <v>2244</v>
      </c>
    </row>
    <row r="305" spans="1:9">
      <c r="A305" t="s">
        <v>2245</v>
      </c>
      <c r="B305" t="s">
        <v>42</v>
      </c>
      <c r="C305" s="7"/>
      <c r="D305" t="s">
        <v>1663</v>
      </c>
      <c r="E305">
        <v>18539</v>
      </c>
      <c r="H305" t="s">
        <v>2246</v>
      </c>
      <c r="I305" s="7"/>
    </row>
    <row r="306" spans="1:9">
      <c r="A306" t="s">
        <v>2247</v>
      </c>
      <c r="B306" t="s">
        <v>42</v>
      </c>
      <c r="C306" s="7"/>
      <c r="D306" t="s">
        <v>1663</v>
      </c>
      <c r="E306" t="s">
        <v>2069</v>
      </c>
      <c r="H306" t="s">
        <v>2248</v>
      </c>
      <c r="I306" t="s">
        <v>2248</v>
      </c>
    </row>
    <row r="307" spans="1:9">
      <c r="A307" t="s">
        <v>2249</v>
      </c>
      <c r="B307" t="s">
        <v>42</v>
      </c>
      <c r="C307" s="7"/>
      <c r="D307" t="s">
        <v>1663</v>
      </c>
      <c r="E307" t="s">
        <v>2069</v>
      </c>
      <c r="H307" t="s">
        <v>2250</v>
      </c>
      <c r="I307" t="s">
        <v>2250</v>
      </c>
    </row>
    <row r="308" spans="1:9">
      <c r="A308" t="s">
        <v>2251</v>
      </c>
      <c r="B308" t="s">
        <v>42</v>
      </c>
      <c r="C308" s="7"/>
      <c r="D308" t="s">
        <v>1663</v>
      </c>
      <c r="E308" t="s">
        <v>2069</v>
      </c>
      <c r="H308" t="s">
        <v>2252</v>
      </c>
      <c r="I308" t="s">
        <v>2252</v>
      </c>
    </row>
    <row r="309" spans="1:9">
      <c r="A309" t="s">
        <v>2253</v>
      </c>
      <c r="B309" t="s">
        <v>42</v>
      </c>
      <c r="C309" s="7"/>
      <c r="D309" t="s">
        <v>1663</v>
      </c>
      <c r="E309" t="s">
        <v>2069</v>
      </c>
      <c r="H309" t="s">
        <v>2254</v>
      </c>
      <c r="I309" t="s">
        <v>2254</v>
      </c>
    </row>
    <row r="310" spans="1:9">
      <c r="A310" t="s">
        <v>2255</v>
      </c>
      <c r="B310" t="s">
        <v>42</v>
      </c>
      <c r="C310" s="7"/>
      <c r="D310" t="s">
        <v>1663</v>
      </c>
      <c r="E310" t="s">
        <v>2069</v>
      </c>
      <c r="H310" t="s">
        <v>2256</v>
      </c>
      <c r="I310" t="s">
        <v>2256</v>
      </c>
    </row>
    <row r="311" spans="1:9">
      <c r="A311" t="s">
        <v>2257</v>
      </c>
      <c r="B311" t="s">
        <v>42</v>
      </c>
      <c r="C311" s="7"/>
      <c r="D311" t="s">
        <v>1663</v>
      </c>
      <c r="E311" t="s">
        <v>2069</v>
      </c>
      <c r="H311" t="s">
        <v>2258</v>
      </c>
      <c r="I311" t="s">
        <v>2258</v>
      </c>
    </row>
    <row r="312" spans="1:9">
      <c r="A312" t="s">
        <v>2259</v>
      </c>
      <c r="B312" t="s">
        <v>42</v>
      </c>
      <c r="C312" s="7"/>
      <c r="D312" t="s">
        <v>1663</v>
      </c>
      <c r="E312" t="s">
        <v>2069</v>
      </c>
      <c r="H312" t="s">
        <v>2260</v>
      </c>
      <c r="I312" t="s">
        <v>2260</v>
      </c>
    </row>
    <row r="313" spans="1:9">
      <c r="A313" t="s">
        <v>2261</v>
      </c>
      <c r="B313" t="s">
        <v>42</v>
      </c>
      <c r="C313" s="7"/>
      <c r="D313" t="s">
        <v>1541</v>
      </c>
      <c r="E313" t="s">
        <v>2262</v>
      </c>
      <c r="H313" t="s">
        <v>2070</v>
      </c>
      <c r="I313" s="7"/>
    </row>
    <row r="314" spans="1:9">
      <c r="A314" t="s">
        <v>2263</v>
      </c>
      <c r="B314" t="s">
        <v>42</v>
      </c>
      <c r="C314" s="7"/>
      <c r="D314" t="s">
        <v>1663</v>
      </c>
      <c r="E314" t="s">
        <v>2264</v>
      </c>
      <c r="H314" t="s">
        <v>2265</v>
      </c>
      <c r="I314" t="s">
        <v>2265</v>
      </c>
    </row>
    <row r="315" spans="1:9">
      <c r="A315" t="s">
        <v>2266</v>
      </c>
      <c r="B315" t="s">
        <v>42</v>
      </c>
      <c r="C315" s="7"/>
      <c r="D315" t="s">
        <v>1663</v>
      </c>
      <c r="E315" t="s">
        <v>2069</v>
      </c>
      <c r="H315" t="s">
        <v>2267</v>
      </c>
      <c r="I315" s="7"/>
    </row>
    <row r="316" spans="1:9">
      <c r="A316" t="s">
        <v>2268</v>
      </c>
      <c r="B316" t="s">
        <v>42</v>
      </c>
      <c r="C316" s="7"/>
      <c r="D316" s="7"/>
      <c r="E316" t="s">
        <v>2069</v>
      </c>
      <c r="H316" t="s">
        <v>2269</v>
      </c>
      <c r="I316" s="7"/>
    </row>
    <row r="317" spans="1:9">
      <c r="A317" t="s">
        <v>2270</v>
      </c>
      <c r="B317" t="s">
        <v>42</v>
      </c>
      <c r="C317" s="7"/>
      <c r="D317" t="s">
        <v>1663</v>
      </c>
      <c r="E317" s="7"/>
      <c r="F317" s="7"/>
      <c r="G317" s="7"/>
      <c r="H317" t="s">
        <v>2271</v>
      </c>
      <c r="I317" t="s">
        <v>2271</v>
      </c>
    </row>
    <row r="318" spans="1:9">
      <c r="A318" t="s">
        <v>2272</v>
      </c>
      <c r="B318" t="s">
        <v>42</v>
      </c>
      <c r="C318" s="7"/>
      <c r="D318" t="s">
        <v>1663</v>
      </c>
      <c r="E318">
        <v>18521</v>
      </c>
      <c r="H318" t="s">
        <v>2273</v>
      </c>
      <c r="I318" t="s">
        <v>2273</v>
      </c>
    </row>
    <row r="319" spans="1:9">
      <c r="A319" t="s">
        <v>2274</v>
      </c>
      <c r="B319" t="s">
        <v>42</v>
      </c>
      <c r="C319" s="7"/>
      <c r="D319" t="s">
        <v>2275</v>
      </c>
      <c r="E319" t="s">
        <v>1596</v>
      </c>
      <c r="H319" t="s">
        <v>2276</v>
      </c>
      <c r="I319" s="7"/>
    </row>
    <row r="320" spans="1:9">
      <c r="A320" t="s">
        <v>1493</v>
      </c>
      <c r="B320" t="s">
        <v>42</v>
      </c>
      <c r="C320" s="7"/>
      <c r="D320" t="s">
        <v>2277</v>
      </c>
      <c r="E320" s="7"/>
      <c r="F320" s="7"/>
      <c r="G320" s="7"/>
      <c r="H320" t="s">
        <v>2278</v>
      </c>
      <c r="I320" t="s">
        <v>2278</v>
      </c>
    </row>
    <row r="321" spans="1:9">
      <c r="A321" t="s">
        <v>2279</v>
      </c>
      <c r="B321" t="s">
        <v>42</v>
      </c>
      <c r="C321" s="7"/>
      <c r="D321" t="s">
        <v>1663</v>
      </c>
      <c r="E321" t="s">
        <v>1596</v>
      </c>
      <c r="H321" t="s">
        <v>2280</v>
      </c>
      <c r="I321" s="7"/>
    </row>
    <row r="322" spans="1:9">
      <c r="A322" t="s">
        <v>2281</v>
      </c>
      <c r="B322" t="s">
        <v>42</v>
      </c>
      <c r="C322" s="7"/>
      <c r="D322" t="s">
        <v>1552</v>
      </c>
      <c r="E322" s="7"/>
      <c r="F322" s="7"/>
      <c r="G322" s="7"/>
      <c r="H322" t="s">
        <v>2282</v>
      </c>
      <c r="I322" t="s">
        <v>2282</v>
      </c>
    </row>
    <row r="323" spans="1:9">
      <c r="A323" t="s">
        <v>2283</v>
      </c>
      <c r="B323" t="s">
        <v>42</v>
      </c>
      <c r="C323" s="7"/>
      <c r="D323" t="s">
        <v>1656</v>
      </c>
      <c r="E323" s="7"/>
      <c r="F323" s="7"/>
      <c r="G323" s="7"/>
      <c r="H323" t="s">
        <v>2284</v>
      </c>
      <c r="I323" s="7"/>
    </row>
    <row r="324" spans="1:9">
      <c r="A324" t="s">
        <v>2285</v>
      </c>
      <c r="B324" t="s">
        <v>42</v>
      </c>
      <c r="C324" s="7"/>
      <c r="D324" t="s">
        <v>1656</v>
      </c>
      <c r="E324" s="7"/>
      <c r="F324" s="7"/>
      <c r="G324" s="7"/>
      <c r="H324" t="s">
        <v>2286</v>
      </c>
      <c r="I324" s="7"/>
    </row>
    <row r="325" spans="1:9">
      <c r="A325" t="s">
        <v>2287</v>
      </c>
      <c r="B325" t="s">
        <v>42</v>
      </c>
      <c r="C325" s="7"/>
      <c r="D325" t="s">
        <v>1656</v>
      </c>
      <c r="E325" s="7"/>
      <c r="F325" s="7"/>
      <c r="G325" s="7"/>
      <c r="H325" t="s">
        <v>2284</v>
      </c>
      <c r="I325" t="s">
        <v>2284</v>
      </c>
    </row>
    <row r="326" spans="1:9">
      <c r="A326" t="s">
        <v>2288</v>
      </c>
      <c r="B326" t="s">
        <v>42</v>
      </c>
      <c r="C326" s="7"/>
      <c r="D326" t="s">
        <v>1656</v>
      </c>
      <c r="E326" s="7"/>
      <c r="F326" s="7"/>
      <c r="G326" s="7"/>
      <c r="H326" t="s">
        <v>2284</v>
      </c>
      <c r="I326" t="s">
        <v>2284</v>
      </c>
    </row>
    <row r="327" spans="1:9">
      <c r="A327" t="s">
        <v>2289</v>
      </c>
      <c r="B327" t="s">
        <v>42</v>
      </c>
      <c r="C327" s="7"/>
      <c r="D327" t="s">
        <v>1589</v>
      </c>
      <c r="E327" s="7"/>
      <c r="F327" s="7"/>
      <c r="G327" s="7"/>
      <c r="H327" t="s">
        <v>2290</v>
      </c>
      <c r="I327" s="7"/>
    </row>
    <row r="328" spans="1:9">
      <c r="A328" t="s">
        <v>2291</v>
      </c>
      <c r="B328" t="s">
        <v>42</v>
      </c>
      <c r="C328" s="7"/>
      <c r="D328" s="7"/>
      <c r="E328" t="s">
        <v>2292</v>
      </c>
      <c r="H328" t="s">
        <v>2293</v>
      </c>
      <c r="I328" t="s">
        <v>2293</v>
      </c>
    </row>
    <row r="329" spans="1:9">
      <c r="A329" t="s">
        <v>2294</v>
      </c>
      <c r="B329" t="s">
        <v>51</v>
      </c>
      <c r="C329" s="7"/>
      <c r="D329" t="s">
        <v>2295</v>
      </c>
      <c r="E329" s="7"/>
      <c r="F329" s="7"/>
      <c r="G329" s="7"/>
      <c r="H329" t="s">
        <v>2296</v>
      </c>
      <c r="I329" t="s">
        <v>2296</v>
      </c>
    </row>
    <row r="330" spans="1:9">
      <c r="A330" t="s">
        <v>1516</v>
      </c>
      <c r="B330" t="s">
        <v>42</v>
      </c>
      <c r="C330" s="7"/>
      <c r="D330" t="s">
        <v>2297</v>
      </c>
      <c r="E330" s="7"/>
      <c r="F330" s="7"/>
      <c r="G330" s="7"/>
      <c r="H330" t="s">
        <v>2298</v>
      </c>
      <c r="I330" t="s">
        <v>2298</v>
      </c>
    </row>
    <row r="331" spans="1:9">
      <c r="A331" t="s">
        <v>2299</v>
      </c>
      <c r="B331" t="s">
        <v>42</v>
      </c>
      <c r="C331" s="7"/>
      <c r="D331" t="s">
        <v>2300</v>
      </c>
      <c r="E331" t="s">
        <v>2299</v>
      </c>
      <c r="H331" t="s">
        <v>2301</v>
      </c>
      <c r="I331" t="s">
        <v>2301</v>
      </c>
    </row>
    <row r="332" spans="1:9">
      <c r="A332" t="s">
        <v>2302</v>
      </c>
      <c r="B332" t="s">
        <v>42</v>
      </c>
      <c r="C332" t="s">
        <v>2303</v>
      </c>
      <c r="D332" t="s">
        <v>2304</v>
      </c>
      <c r="E332" t="s">
        <v>2305</v>
      </c>
      <c r="H332" t="s">
        <v>2306</v>
      </c>
      <c r="I332" t="s">
        <v>2306</v>
      </c>
    </row>
    <row r="333" spans="1:9">
      <c r="A333" t="s">
        <v>2307</v>
      </c>
      <c r="B333" t="s">
        <v>42</v>
      </c>
      <c r="C333" t="s">
        <v>2308</v>
      </c>
      <c r="D333" t="s">
        <v>2304</v>
      </c>
      <c r="E333" t="s">
        <v>2309</v>
      </c>
      <c r="H333" t="s">
        <v>2310</v>
      </c>
      <c r="I333" t="s">
        <v>2311</v>
      </c>
    </row>
  </sheetData>
  <autoFilter ref="A1:J37">
    <sortState ref="A2:I333">
      <sortCondition ref="A1:A37"/>
    </sortState>
  </autoFilter>
  <pageMargins left="0.7" right="0.7" top="0.75" bottom="0.75" header="0.3" footer="0.3"/>
  <pageSetup scale="16" fitToHeight="0"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pageSetUpPr fitToPage="1"/>
  </sheetPr>
  <dimension ref="A1:L37"/>
  <sheetViews>
    <sheetView topLeftCell="G1" workbookViewId="0">
      <selection activeCell="G1" sqref="G1:L1048576"/>
    </sheetView>
  </sheetViews>
  <sheetFormatPr defaultRowHeight="15" outlineLevelCol="1"/>
  <cols>
    <col min="1" max="1" width="37.28515625" bestFit="1" customWidth="1"/>
    <col min="2" max="2" width="19.5703125" hidden="1" customWidth="1" outlineLevel="1"/>
    <col min="3" max="3" width="64" hidden="1" customWidth="1" outlineLevel="1"/>
    <col min="4" max="4" width="24.7109375" hidden="1" customWidth="1" outlineLevel="1"/>
    <col min="5" max="6" width="69.28515625" hidden="1" customWidth="1" outlineLevel="1"/>
    <col min="7" max="7" width="19.7109375" customWidth="1" collapsed="1"/>
    <col min="8" max="8" width="19.7109375" customWidth="1"/>
    <col min="9" max="9" width="19.7109375" bestFit="1" customWidth="1"/>
    <col min="10" max="10" width="24.7109375" bestFit="1" customWidth="1"/>
    <col min="11" max="11" width="19" bestFit="1" customWidth="1"/>
    <col min="12" max="12" width="21" bestFit="1" customWidth="1"/>
  </cols>
  <sheetData>
    <row r="1" spans="1:12" s="6" customFormat="1">
      <c r="A1" s="6" t="s">
        <v>1532</v>
      </c>
      <c r="B1" s="6" t="s">
        <v>1537</v>
      </c>
      <c r="C1" s="6" t="s">
        <v>2312</v>
      </c>
      <c r="D1" s="6" t="s">
        <v>2313</v>
      </c>
      <c r="E1" s="6" t="s">
        <v>1538</v>
      </c>
      <c r="F1" s="6" t="s">
        <v>1539</v>
      </c>
      <c r="G1" s="6" t="s">
        <v>5</v>
      </c>
      <c r="H1" s="6" t="s">
        <v>712</v>
      </c>
      <c r="I1" s="6" t="s">
        <v>713</v>
      </c>
      <c r="J1" s="6" t="s">
        <v>12</v>
      </c>
      <c r="K1" s="6" t="s">
        <v>714</v>
      </c>
      <c r="L1" s="6" t="s">
        <v>14</v>
      </c>
    </row>
    <row r="2" spans="1:12">
      <c r="A2" t="s">
        <v>41</v>
      </c>
      <c r="B2" s="7"/>
      <c r="C2" t="s">
        <v>2314</v>
      </c>
      <c r="D2" s="7"/>
      <c r="E2" t="s">
        <v>1551</v>
      </c>
      <c r="F2" t="s">
        <v>1551</v>
      </c>
      <c r="G2" s="5"/>
      <c r="H2" s="5"/>
      <c r="I2" s="5"/>
      <c r="K2" s="5">
        <f>EDATE(I2,J2)</f>
        <v>0</v>
      </c>
      <c r="L2">
        <f ca="1">K2-TODAY()</f>
        <v>-46093</v>
      </c>
    </row>
    <row r="3" spans="1:12">
      <c r="A3" t="s">
        <v>1600</v>
      </c>
      <c r="B3" s="7"/>
      <c r="C3" s="7"/>
      <c r="D3" s="7"/>
      <c r="E3" t="s">
        <v>1601</v>
      </c>
      <c r="F3" t="s">
        <v>1601</v>
      </c>
    </row>
    <row r="4" spans="1:12">
      <c r="A4" t="s">
        <v>1105</v>
      </c>
      <c r="B4" s="7"/>
      <c r="C4" t="s">
        <v>1852</v>
      </c>
      <c r="D4" t="s">
        <v>1596</v>
      </c>
      <c r="E4" t="s">
        <v>1853</v>
      </c>
      <c r="F4" t="s">
        <v>1853</v>
      </c>
    </row>
    <row r="5" spans="1:12">
      <c r="A5" t="s">
        <v>126</v>
      </c>
      <c r="B5" s="7"/>
      <c r="C5" t="s">
        <v>1778</v>
      </c>
      <c r="D5" s="7"/>
      <c r="E5" t="s">
        <v>1779</v>
      </c>
      <c r="F5" t="s">
        <v>1779</v>
      </c>
    </row>
    <row r="6" spans="1:12">
      <c r="A6" t="s">
        <v>1945</v>
      </c>
      <c r="B6" t="s">
        <v>1946</v>
      </c>
      <c r="C6" t="s">
        <v>1947</v>
      </c>
      <c r="D6" t="s">
        <v>1945</v>
      </c>
      <c r="E6" t="s">
        <v>1948</v>
      </c>
      <c r="F6" t="s">
        <v>1948</v>
      </c>
    </row>
    <row r="7" spans="1:12">
      <c r="A7" t="s">
        <v>96</v>
      </c>
      <c r="B7" s="7"/>
      <c r="C7" t="s">
        <v>1658</v>
      </c>
      <c r="D7" t="s">
        <v>1596</v>
      </c>
      <c r="E7" t="s">
        <v>1659</v>
      </c>
      <c r="F7" t="s">
        <v>1659</v>
      </c>
    </row>
    <row r="8" spans="1:12">
      <c r="A8" t="s">
        <v>1578</v>
      </c>
      <c r="B8" s="7"/>
      <c r="C8" t="s">
        <v>1579</v>
      </c>
      <c r="D8" s="7"/>
      <c r="E8" t="s">
        <v>1580</v>
      </c>
      <c r="F8" t="s">
        <v>1580</v>
      </c>
    </row>
    <row r="9" spans="1:12">
      <c r="A9" t="s">
        <v>1732</v>
      </c>
      <c r="B9" t="s">
        <v>1733</v>
      </c>
      <c r="C9" t="s">
        <v>1734</v>
      </c>
      <c r="D9" t="s">
        <v>1735</v>
      </c>
      <c r="E9" t="s">
        <v>1736</v>
      </c>
      <c r="F9" t="s">
        <v>1736</v>
      </c>
    </row>
    <row r="10" spans="1:12">
      <c r="A10" t="s">
        <v>166</v>
      </c>
      <c r="B10" s="7"/>
      <c r="C10" t="s">
        <v>1863</v>
      </c>
      <c r="D10" s="7"/>
      <c r="E10" t="s">
        <v>1864</v>
      </c>
      <c r="F10" t="s">
        <v>1864</v>
      </c>
    </row>
    <row r="11" spans="1:12">
      <c r="A11" t="s">
        <v>109</v>
      </c>
      <c r="B11" s="7"/>
      <c r="C11" t="s">
        <v>1742</v>
      </c>
      <c r="D11" s="7"/>
      <c r="E11" t="s">
        <v>1743</v>
      </c>
      <c r="F11" t="s">
        <v>1743</v>
      </c>
    </row>
    <row r="12" spans="1:12">
      <c r="A12" t="s">
        <v>1605</v>
      </c>
      <c r="B12" s="7"/>
      <c r="C12" t="s">
        <v>1606</v>
      </c>
      <c r="D12" s="7"/>
      <c r="E12" t="s">
        <v>1607</v>
      </c>
      <c r="F12" t="s">
        <v>1607</v>
      </c>
    </row>
    <row r="13" spans="1:12">
      <c r="A13" t="s">
        <v>127</v>
      </c>
      <c r="B13" s="7"/>
      <c r="C13" t="s">
        <v>1785</v>
      </c>
      <c r="D13" s="7"/>
      <c r="E13" t="s">
        <v>1786</v>
      </c>
      <c r="F13" s="7"/>
    </row>
    <row r="14" spans="1:12">
      <c r="A14" t="s">
        <v>1987</v>
      </c>
      <c r="B14" s="7"/>
      <c r="C14" t="s">
        <v>1988</v>
      </c>
      <c r="D14" s="7"/>
      <c r="E14" t="s">
        <v>1989</v>
      </c>
      <c r="F14" t="s">
        <v>1989</v>
      </c>
    </row>
    <row r="15" spans="1:12">
      <c r="A15" t="s">
        <v>1355</v>
      </c>
      <c r="B15" s="7"/>
      <c r="C15" s="7"/>
      <c r="D15" s="7"/>
      <c r="E15" t="s">
        <v>2049</v>
      </c>
      <c r="F15" t="s">
        <v>2049</v>
      </c>
    </row>
    <row r="16" spans="1:12">
      <c r="A16" t="s">
        <v>1939</v>
      </c>
      <c r="B16" s="7"/>
      <c r="C16" t="s">
        <v>1940</v>
      </c>
      <c r="D16" s="7"/>
      <c r="E16" t="s">
        <v>1941</v>
      </c>
      <c r="F16" t="s">
        <v>1941</v>
      </c>
    </row>
    <row r="17" spans="1:6">
      <c r="A17" t="s">
        <v>2035</v>
      </c>
      <c r="B17" t="s">
        <v>2036</v>
      </c>
      <c r="C17" t="s">
        <v>2037</v>
      </c>
      <c r="D17" t="s">
        <v>1596</v>
      </c>
      <c r="E17" t="s">
        <v>2038</v>
      </c>
      <c r="F17" t="s">
        <v>2038</v>
      </c>
    </row>
    <row r="18" spans="1:6">
      <c r="A18" t="s">
        <v>1569</v>
      </c>
      <c r="B18" s="7"/>
      <c r="C18" t="s">
        <v>1570</v>
      </c>
      <c r="D18" s="7"/>
      <c r="E18" t="s">
        <v>1572</v>
      </c>
      <c r="F18" t="s">
        <v>1572</v>
      </c>
    </row>
    <row r="19" spans="1:6">
      <c r="A19" t="s">
        <v>620</v>
      </c>
      <c r="B19" s="7"/>
      <c r="C19" t="s">
        <v>1637</v>
      </c>
      <c r="D19" s="7"/>
      <c r="E19" t="s">
        <v>1638</v>
      </c>
      <c r="F19" t="s">
        <v>1638</v>
      </c>
    </row>
    <row r="20" spans="1:6">
      <c r="A20" t="s">
        <v>1712</v>
      </c>
      <c r="B20" s="7"/>
      <c r="C20" s="7"/>
      <c r="D20" s="7"/>
      <c r="E20" t="s">
        <v>1713</v>
      </c>
      <c r="F20" t="s">
        <v>1713</v>
      </c>
    </row>
    <row r="21" spans="1:6">
      <c r="A21" t="s">
        <v>1789</v>
      </c>
      <c r="B21" s="7"/>
      <c r="C21" t="s">
        <v>1790</v>
      </c>
      <c r="D21" t="s">
        <v>1791</v>
      </c>
      <c r="E21" t="s">
        <v>1792</v>
      </c>
      <c r="F21" t="s">
        <v>1792</v>
      </c>
    </row>
    <row r="22" spans="1:6">
      <c r="A22" t="s">
        <v>1867</v>
      </c>
      <c r="B22" s="7"/>
      <c r="C22" t="s">
        <v>1552</v>
      </c>
      <c r="D22" s="7"/>
      <c r="E22" t="s">
        <v>1868</v>
      </c>
      <c r="F22" t="s">
        <v>1868</v>
      </c>
    </row>
    <row r="23" spans="1:6">
      <c r="A23" t="s">
        <v>1225</v>
      </c>
      <c r="B23" s="7"/>
      <c r="C23" t="s">
        <v>1966</v>
      </c>
      <c r="D23" t="s">
        <v>1596</v>
      </c>
      <c r="E23" t="s">
        <v>1967</v>
      </c>
      <c r="F23" t="s">
        <v>1967</v>
      </c>
    </row>
    <row r="24" spans="1:6">
      <c r="A24" t="s">
        <v>553</v>
      </c>
      <c r="B24" s="7"/>
      <c r="C24" t="s">
        <v>2032</v>
      </c>
      <c r="D24" t="s">
        <v>553</v>
      </c>
      <c r="E24" t="s">
        <v>2027</v>
      </c>
      <c r="F24" t="s">
        <v>2027</v>
      </c>
    </row>
    <row r="25" spans="1:6">
      <c r="A25" t="s">
        <v>2294</v>
      </c>
      <c r="B25" s="7"/>
      <c r="C25" t="s">
        <v>2295</v>
      </c>
      <c r="D25" s="7"/>
      <c r="E25" t="s">
        <v>2296</v>
      </c>
      <c r="F25" t="s">
        <v>2296</v>
      </c>
    </row>
    <row r="26" spans="1:6">
      <c r="A26" t="s">
        <v>2055</v>
      </c>
      <c r="B26" s="7"/>
      <c r="C26" t="s">
        <v>2056</v>
      </c>
      <c r="D26" s="7"/>
      <c r="E26" t="s">
        <v>2057</v>
      </c>
      <c r="F26" t="s">
        <v>2057</v>
      </c>
    </row>
    <row r="27" spans="1:6">
      <c r="A27" t="s">
        <v>833</v>
      </c>
      <c r="B27" s="7"/>
      <c r="C27" t="s">
        <v>1559</v>
      </c>
      <c r="D27" t="s">
        <v>833</v>
      </c>
      <c r="E27" t="s">
        <v>1560</v>
      </c>
      <c r="F27" t="s">
        <v>1560</v>
      </c>
    </row>
    <row r="28" spans="1:6">
      <c r="A28" t="s">
        <v>1843</v>
      </c>
      <c r="B28" t="s">
        <v>1844</v>
      </c>
      <c r="C28" t="s">
        <v>1845</v>
      </c>
      <c r="D28" s="7"/>
      <c r="E28" t="s">
        <v>1846</v>
      </c>
      <c r="F28" t="s">
        <v>1846</v>
      </c>
    </row>
    <row r="29" spans="1:6">
      <c r="A29" t="s">
        <v>1675</v>
      </c>
      <c r="B29" s="7"/>
      <c r="C29" t="s">
        <v>1676</v>
      </c>
      <c r="D29" s="7"/>
      <c r="E29" t="s">
        <v>1677</v>
      </c>
      <c r="F29" t="s">
        <v>1677</v>
      </c>
    </row>
    <row r="30" spans="1:6">
      <c r="A30" t="s">
        <v>107</v>
      </c>
      <c r="B30" s="7"/>
      <c r="C30" s="7"/>
      <c r="D30" s="7"/>
      <c r="E30" t="s">
        <v>1740</v>
      </c>
      <c r="F30" t="s">
        <v>1740</v>
      </c>
    </row>
    <row r="31" spans="1:6">
      <c r="A31" t="s">
        <v>1861</v>
      </c>
      <c r="B31" s="7"/>
      <c r="C31" s="7"/>
      <c r="D31" s="7"/>
      <c r="E31" t="s">
        <v>1862</v>
      </c>
      <c r="F31" t="s">
        <v>1862</v>
      </c>
    </row>
    <row r="32" spans="1:6">
      <c r="A32" t="s">
        <v>1612</v>
      </c>
      <c r="B32" s="7"/>
      <c r="C32" t="s">
        <v>1613</v>
      </c>
      <c r="D32" s="7"/>
      <c r="E32" t="s">
        <v>1614</v>
      </c>
      <c r="F32" t="s">
        <v>1614</v>
      </c>
    </row>
    <row r="33" spans="1:6">
      <c r="A33" t="s">
        <v>1699</v>
      </c>
      <c r="B33" s="7"/>
      <c r="C33" s="7"/>
      <c r="D33" s="7"/>
      <c r="E33" s="7"/>
      <c r="F33" s="7"/>
    </row>
    <row r="34" spans="1:6">
      <c r="A34" t="s">
        <v>1803</v>
      </c>
      <c r="B34" s="7"/>
      <c r="C34" s="7"/>
      <c r="D34" s="7"/>
      <c r="E34" t="s">
        <v>1804</v>
      </c>
      <c r="F34" t="s">
        <v>1804</v>
      </c>
    </row>
    <row r="35" spans="1:6">
      <c r="A35" t="s">
        <v>2053</v>
      </c>
      <c r="B35" s="7"/>
      <c r="C35" s="7"/>
      <c r="D35" s="7"/>
      <c r="E35" s="7"/>
      <c r="F35" s="7"/>
    </row>
    <row r="36" spans="1:6">
      <c r="A36" t="s">
        <v>1429</v>
      </c>
      <c r="B36" s="7"/>
      <c r="C36" t="s">
        <v>2066</v>
      </c>
      <c r="D36" t="s">
        <v>1429</v>
      </c>
      <c r="E36" s="7"/>
      <c r="F36" s="7"/>
    </row>
    <row r="37" spans="1:6">
      <c r="A37">
        <f>COUNTA(A2:A36)</f>
        <v>35</v>
      </c>
    </row>
  </sheetData>
  <autoFilter ref="A1:L37"/>
  <conditionalFormatting sqref="K1:L1048576">
    <cfRule type="cellIs" dxfId="23" priority="2" operator="equal">
      <formula>0</formula>
    </cfRule>
  </conditionalFormatting>
  <conditionalFormatting sqref="L1:L1048576">
    <cfRule type="cellIs" dxfId="22" priority="1" operator="equal">
      <formula>-44816</formula>
    </cfRule>
  </conditionalFormatting>
  <pageMargins left="0.7" right="0.7" top="0.75" bottom="0.75" header="0.3" footer="0.3"/>
  <pageSetup scale="56" fitToHeight="0"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pageSetUpPr fitToPage="1"/>
  </sheetPr>
  <dimension ref="A1:P299"/>
  <sheetViews>
    <sheetView workbookViewId="0">
      <selection activeCell="G1" sqref="G1:L1048576"/>
    </sheetView>
  </sheetViews>
  <sheetFormatPr defaultRowHeight="15" outlineLevelCol="1"/>
  <cols>
    <col min="1" max="1" width="69.42578125" bestFit="1" customWidth="1"/>
    <col min="2" max="2" width="40" customWidth="1" outlineLevel="1"/>
    <col min="3" max="3" width="76.7109375" customWidth="1" outlineLevel="1"/>
    <col min="4" max="4" width="24.42578125" customWidth="1" outlineLevel="1"/>
    <col min="5" max="6" width="139.7109375" customWidth="1" outlineLevel="1"/>
    <col min="7" max="7" width="10.7109375" style="5" customWidth="1"/>
    <col min="8" max="8" width="19.28515625" style="5" bestFit="1" customWidth="1"/>
    <col min="9" max="9" width="18.7109375" style="5" bestFit="1" customWidth="1"/>
    <col min="10" max="10" width="12.28515625" bestFit="1" customWidth="1"/>
    <col min="11" max="11" width="21.28515625" bestFit="1" customWidth="1"/>
    <col min="12" max="12" width="18.28515625" bestFit="1" customWidth="1"/>
    <col min="13" max="13" width="18.28515625" customWidth="1"/>
    <col min="14" max="14" width="15.5703125" bestFit="1" customWidth="1"/>
    <col min="15" max="15" width="9.5703125" hidden="1" customWidth="1"/>
  </cols>
  <sheetData>
    <row r="1" spans="1:16">
      <c r="A1" s="9" t="s">
        <v>1</v>
      </c>
      <c r="B1" s="9" t="s">
        <v>2315</v>
      </c>
      <c r="C1" s="9" t="s">
        <v>1537</v>
      </c>
      <c r="D1" s="9" t="s">
        <v>2312</v>
      </c>
      <c r="E1" s="9" t="s">
        <v>2313</v>
      </c>
      <c r="F1" s="9" t="s">
        <v>1538</v>
      </c>
      <c r="G1" s="9" t="s">
        <v>1539</v>
      </c>
      <c r="H1" s="8" t="s">
        <v>5</v>
      </c>
      <c r="I1" s="8" t="s">
        <v>712</v>
      </c>
      <c r="J1" s="8" t="s">
        <v>713</v>
      </c>
      <c r="K1" s="4" t="s">
        <v>12</v>
      </c>
      <c r="L1" s="4" t="s">
        <v>714</v>
      </c>
      <c r="M1" s="4" t="s">
        <v>14</v>
      </c>
      <c r="N1" s="4" t="s">
        <v>271</v>
      </c>
    </row>
    <row r="2" spans="1:16">
      <c r="A2" t="s">
        <v>1761</v>
      </c>
      <c r="C2" t="s">
        <v>1762</v>
      </c>
      <c r="D2" t="s">
        <v>1552</v>
      </c>
      <c r="E2" s="7"/>
      <c r="F2" t="s">
        <v>1763</v>
      </c>
      <c r="G2" t="s">
        <v>1763</v>
      </c>
      <c r="J2" s="5"/>
      <c r="L2" s="5">
        <f t="shared" ref="L2:L65" si="0">IFERROR(EDATE(J2,K2),"-")</f>
        <v>0</v>
      </c>
      <c r="M2">
        <f ca="1">Table2[[#This Row],[Expiration]]-TODAY()</f>
        <v>-46093</v>
      </c>
      <c r="N2" s="5"/>
      <c r="P2" s="5">
        <f>EOMONTH(Table2[[#This Row],[Effective]],Table2[[#This Row],[Duration (Months)]])</f>
        <v>31</v>
      </c>
    </row>
    <row r="3" spans="1:16">
      <c r="A3" t="s">
        <v>1544</v>
      </c>
      <c r="C3" s="7"/>
      <c r="D3" t="s">
        <v>1545</v>
      </c>
      <c r="E3" s="7"/>
      <c r="F3" t="s">
        <v>1547</v>
      </c>
      <c r="G3" t="s">
        <v>1547</v>
      </c>
      <c r="J3" s="5"/>
      <c r="L3" s="5">
        <f t="shared" si="0"/>
        <v>0</v>
      </c>
      <c r="M3">
        <f ca="1">Table2[[#This Row],[Expiration]]-TODAY()</f>
        <v>-46093</v>
      </c>
      <c r="N3" s="5"/>
      <c r="P3">
        <f>IFERROR(EDATE(J2,K2),"-")</f>
        <v>0</v>
      </c>
    </row>
    <row r="4" spans="1:16">
      <c r="A4" t="s">
        <v>1585</v>
      </c>
      <c r="C4" s="7"/>
      <c r="D4" t="s">
        <v>1552</v>
      </c>
      <c r="E4" s="7"/>
      <c r="F4" t="s">
        <v>1586</v>
      </c>
      <c r="G4" t="s">
        <v>1586</v>
      </c>
      <c r="J4" s="5"/>
      <c r="L4" s="5">
        <f t="shared" si="0"/>
        <v>0</v>
      </c>
      <c r="M4">
        <f ca="1">Table2[[#This Row],[Expiration]]-TODAY()</f>
        <v>-46093</v>
      </c>
      <c r="N4" s="5"/>
    </row>
    <row r="5" spans="1:16">
      <c r="A5" t="s">
        <v>1598</v>
      </c>
      <c r="C5" s="7"/>
      <c r="D5" t="s">
        <v>1541</v>
      </c>
      <c r="E5" t="s">
        <v>1596</v>
      </c>
      <c r="F5" t="s">
        <v>1599</v>
      </c>
      <c r="G5" s="7"/>
      <c r="J5" s="5"/>
      <c r="L5" s="5">
        <f t="shared" si="0"/>
        <v>0</v>
      </c>
      <c r="M5">
        <f ca="1">Table2[[#This Row],[Expiration]]-TODAY()</f>
        <v>-46093</v>
      </c>
      <c r="N5" s="5"/>
    </row>
    <row r="6" spans="1:16">
      <c r="A6" t="s">
        <v>1602</v>
      </c>
      <c r="C6" s="7"/>
      <c r="D6" t="s">
        <v>1603</v>
      </c>
      <c r="E6" s="7"/>
      <c r="F6" t="s">
        <v>1604</v>
      </c>
      <c r="G6" t="s">
        <v>1604</v>
      </c>
      <c r="J6" s="5"/>
      <c r="L6" s="5">
        <f t="shared" si="0"/>
        <v>0</v>
      </c>
      <c r="N6" s="5"/>
    </row>
    <row r="7" spans="1:16">
      <c r="A7" t="s">
        <v>1704</v>
      </c>
      <c r="C7" s="7"/>
      <c r="D7" s="7"/>
      <c r="E7" t="s">
        <v>1705</v>
      </c>
      <c r="F7" t="s">
        <v>1706</v>
      </c>
      <c r="G7" t="s">
        <v>1706</v>
      </c>
      <c r="J7" s="5"/>
      <c r="L7" s="5">
        <f t="shared" si="0"/>
        <v>0</v>
      </c>
      <c r="N7" s="5"/>
    </row>
    <row r="8" spans="1:16">
      <c r="A8" t="s">
        <v>1709</v>
      </c>
      <c r="C8" s="7"/>
      <c r="D8" s="7"/>
      <c r="E8" t="s">
        <v>1710</v>
      </c>
      <c r="F8" t="s">
        <v>1711</v>
      </c>
      <c r="G8" s="7"/>
      <c r="J8" s="5"/>
      <c r="L8" s="5">
        <f t="shared" si="0"/>
        <v>0</v>
      </c>
      <c r="N8" s="5"/>
    </row>
    <row r="9" spans="1:16">
      <c r="A9" t="s">
        <v>1856</v>
      </c>
      <c r="C9" s="7"/>
      <c r="D9" t="s">
        <v>1857</v>
      </c>
      <c r="E9" s="7"/>
      <c r="F9" t="s">
        <v>1858</v>
      </c>
      <c r="G9" t="s">
        <v>1858</v>
      </c>
      <c r="J9" s="5"/>
      <c r="L9" s="5">
        <f t="shared" si="0"/>
        <v>0</v>
      </c>
      <c r="N9" s="5"/>
    </row>
    <row r="10" spans="1:16">
      <c r="A10" t="s">
        <v>1960</v>
      </c>
      <c r="C10" s="7"/>
      <c r="D10" t="s">
        <v>1552</v>
      </c>
      <c r="E10" s="7"/>
      <c r="F10" t="s">
        <v>1961</v>
      </c>
      <c r="G10" t="s">
        <v>1961</v>
      </c>
      <c r="J10" s="5"/>
      <c r="L10" s="5">
        <f t="shared" si="0"/>
        <v>0</v>
      </c>
      <c r="N10" s="5"/>
    </row>
    <row r="11" spans="1:16">
      <c r="A11" t="s">
        <v>909</v>
      </c>
      <c r="C11" s="7"/>
      <c r="D11" t="s">
        <v>1654</v>
      </c>
      <c r="E11" s="7"/>
      <c r="F11" t="s">
        <v>1655</v>
      </c>
      <c r="G11" t="s">
        <v>1655</v>
      </c>
      <c r="J11" s="5"/>
      <c r="L11" s="5">
        <f t="shared" si="0"/>
        <v>0</v>
      </c>
      <c r="N11" s="5"/>
    </row>
    <row r="12" spans="1:16">
      <c r="A12" t="s">
        <v>1688</v>
      </c>
      <c r="C12" s="7"/>
      <c r="D12" s="7"/>
      <c r="E12" t="s">
        <v>1596</v>
      </c>
      <c r="F12" t="s">
        <v>1689</v>
      </c>
      <c r="G12" t="s">
        <v>1689</v>
      </c>
      <c r="J12" s="5"/>
      <c r="L12" s="5">
        <f t="shared" si="0"/>
        <v>0</v>
      </c>
      <c r="N12" s="5"/>
    </row>
    <row r="13" spans="1:16">
      <c r="A13" t="s">
        <v>928</v>
      </c>
      <c r="C13" t="s">
        <v>1690</v>
      </c>
      <c r="D13" t="s">
        <v>1552</v>
      </c>
      <c r="E13" t="s">
        <v>1691</v>
      </c>
      <c r="F13" t="s">
        <v>1692</v>
      </c>
      <c r="G13" t="s">
        <v>1692</v>
      </c>
      <c r="J13" s="5"/>
      <c r="L13" s="5">
        <f t="shared" si="0"/>
        <v>0</v>
      </c>
      <c r="N13" s="5"/>
    </row>
    <row r="14" spans="1:16">
      <c r="A14" t="s">
        <v>984</v>
      </c>
      <c r="C14" s="7"/>
      <c r="D14" t="s">
        <v>1750</v>
      </c>
      <c r="E14" s="7"/>
      <c r="F14" t="s">
        <v>1751</v>
      </c>
      <c r="G14" t="s">
        <v>1751</v>
      </c>
      <c r="J14" s="5"/>
      <c r="L14" s="5">
        <f t="shared" si="0"/>
        <v>0</v>
      </c>
      <c r="N14" s="5"/>
    </row>
    <row r="15" spans="1:16">
      <c r="A15" t="s">
        <v>1773</v>
      </c>
      <c r="C15" s="7"/>
      <c r="D15" s="7"/>
      <c r="E15" s="7"/>
      <c r="F15" t="s">
        <v>1774</v>
      </c>
      <c r="G15" t="s">
        <v>1774</v>
      </c>
      <c r="J15" s="5"/>
      <c r="L15" s="5">
        <f t="shared" si="0"/>
        <v>0</v>
      </c>
      <c r="N15" s="5"/>
    </row>
    <row r="16" spans="1:16">
      <c r="A16" t="s">
        <v>1780</v>
      </c>
      <c r="C16" s="7"/>
      <c r="D16" t="s">
        <v>1781</v>
      </c>
      <c r="E16" s="7"/>
      <c r="F16" t="s">
        <v>1782</v>
      </c>
      <c r="G16" t="s">
        <v>1782</v>
      </c>
      <c r="J16" s="5"/>
      <c r="L16" s="5">
        <f t="shared" si="0"/>
        <v>0</v>
      </c>
      <c r="N16" s="5"/>
    </row>
    <row r="17" spans="1:14">
      <c r="A17" t="s">
        <v>1800</v>
      </c>
      <c r="C17" s="7"/>
      <c r="D17" t="s">
        <v>1801</v>
      </c>
      <c r="E17" s="7"/>
      <c r="F17" t="s">
        <v>1802</v>
      </c>
      <c r="G17" t="s">
        <v>1802</v>
      </c>
      <c r="J17" s="5"/>
      <c r="L17" s="5">
        <f t="shared" si="0"/>
        <v>0</v>
      </c>
      <c r="N17" s="5"/>
    </row>
    <row r="18" spans="1:14">
      <c r="A18" t="s">
        <v>1817</v>
      </c>
      <c r="C18" t="s">
        <v>1818</v>
      </c>
      <c r="D18" t="s">
        <v>1819</v>
      </c>
      <c r="E18" t="s">
        <v>1820</v>
      </c>
      <c r="F18" t="s">
        <v>1821</v>
      </c>
      <c r="G18" t="s">
        <v>1821</v>
      </c>
      <c r="J18" s="5"/>
      <c r="L18" s="5">
        <f t="shared" si="0"/>
        <v>0</v>
      </c>
      <c r="N18" s="5"/>
    </row>
    <row r="19" spans="1:14">
      <c r="A19" t="s">
        <v>1086</v>
      </c>
      <c r="C19" t="s">
        <v>1837</v>
      </c>
      <c r="D19" t="s">
        <v>1552</v>
      </c>
      <c r="E19" s="7"/>
      <c r="F19" t="s">
        <v>1838</v>
      </c>
      <c r="G19" s="7"/>
      <c r="J19" s="5"/>
      <c r="L19" s="5">
        <f t="shared" si="0"/>
        <v>0</v>
      </c>
      <c r="N19" s="5"/>
    </row>
    <row r="20" spans="1:14">
      <c r="A20" t="s">
        <v>1920</v>
      </c>
      <c r="C20" s="7"/>
      <c r="D20" t="s">
        <v>1541</v>
      </c>
      <c r="E20" t="s">
        <v>1596</v>
      </c>
      <c r="F20" t="s">
        <v>1921</v>
      </c>
      <c r="G20" s="7"/>
      <c r="J20" s="5"/>
      <c r="L20" s="5">
        <f t="shared" si="0"/>
        <v>0</v>
      </c>
      <c r="N20" s="5"/>
    </row>
    <row r="21" spans="1:14">
      <c r="A21" t="s">
        <v>1962</v>
      </c>
      <c r="C21" s="7"/>
      <c r="D21" t="s">
        <v>1552</v>
      </c>
      <c r="E21" s="7"/>
      <c r="F21" t="s">
        <v>1963</v>
      </c>
      <c r="G21" t="s">
        <v>1963</v>
      </c>
      <c r="J21" s="5"/>
      <c r="L21" s="5">
        <f t="shared" si="0"/>
        <v>0</v>
      </c>
      <c r="N21" s="5"/>
    </row>
    <row r="22" spans="1:14">
      <c r="A22" t="s">
        <v>2044</v>
      </c>
      <c r="C22" s="7"/>
      <c r="D22" t="s">
        <v>1552</v>
      </c>
      <c r="E22" s="7"/>
      <c r="F22" t="s">
        <v>2045</v>
      </c>
      <c r="G22" t="s">
        <v>2045</v>
      </c>
      <c r="J22" s="5"/>
      <c r="L22" s="5">
        <f t="shared" si="0"/>
        <v>0</v>
      </c>
      <c r="N22" s="5"/>
    </row>
    <row r="23" spans="1:14">
      <c r="A23" t="s">
        <v>2274</v>
      </c>
      <c r="C23" s="7"/>
      <c r="D23" t="s">
        <v>2275</v>
      </c>
      <c r="E23" t="s">
        <v>1596</v>
      </c>
      <c r="F23" t="s">
        <v>2276</v>
      </c>
      <c r="G23" s="7"/>
      <c r="J23" s="5"/>
      <c r="L23" s="5">
        <f t="shared" si="0"/>
        <v>0</v>
      </c>
      <c r="N23" s="5"/>
    </row>
    <row r="24" spans="1:14">
      <c r="A24" t="s">
        <v>1493</v>
      </c>
      <c r="C24" s="7"/>
      <c r="D24" t="s">
        <v>2277</v>
      </c>
      <c r="E24" s="7"/>
      <c r="F24" t="s">
        <v>2278</v>
      </c>
      <c r="G24" t="s">
        <v>2278</v>
      </c>
      <c r="J24" s="5"/>
      <c r="L24" s="5">
        <f t="shared" si="0"/>
        <v>0</v>
      </c>
      <c r="N24" s="5"/>
    </row>
    <row r="25" spans="1:14">
      <c r="A25" t="s">
        <v>1516</v>
      </c>
      <c r="C25" s="7"/>
      <c r="D25" t="s">
        <v>2297</v>
      </c>
      <c r="E25" s="7"/>
      <c r="F25" t="s">
        <v>2298</v>
      </c>
      <c r="G25" t="s">
        <v>2298</v>
      </c>
      <c r="J25" s="5"/>
      <c r="L25" s="5">
        <f t="shared" si="0"/>
        <v>0</v>
      </c>
      <c r="N25" s="5"/>
    </row>
    <row r="26" spans="1:14">
      <c r="A26" t="s">
        <v>1595</v>
      </c>
      <c r="C26" s="7"/>
      <c r="D26" s="7"/>
      <c r="E26" t="s">
        <v>1596</v>
      </c>
      <c r="F26" t="s">
        <v>1597</v>
      </c>
      <c r="G26" s="7"/>
      <c r="J26" s="5"/>
      <c r="L26" s="5">
        <f t="shared" si="0"/>
        <v>0</v>
      </c>
      <c r="N26" s="5"/>
    </row>
    <row r="27" spans="1:14">
      <c r="A27" t="s">
        <v>1011</v>
      </c>
      <c r="C27" s="7"/>
      <c r="D27" t="s">
        <v>1541</v>
      </c>
      <c r="E27" s="7"/>
      <c r="F27" t="s">
        <v>1799</v>
      </c>
      <c r="G27" t="s">
        <v>1799</v>
      </c>
      <c r="J27" s="5"/>
      <c r="L27" s="5">
        <f t="shared" si="0"/>
        <v>0</v>
      </c>
      <c r="N27" s="5"/>
    </row>
    <row r="28" spans="1:14">
      <c r="A28" t="s">
        <v>1878</v>
      </c>
      <c r="C28" s="7"/>
      <c r="D28" t="s">
        <v>1541</v>
      </c>
      <c r="E28" t="s">
        <v>1596</v>
      </c>
      <c r="F28" t="s">
        <v>1879</v>
      </c>
      <c r="G28" t="s">
        <v>1879</v>
      </c>
      <c r="J28" s="5"/>
      <c r="L28" s="5">
        <f t="shared" si="0"/>
        <v>0</v>
      </c>
      <c r="N28" s="5"/>
    </row>
    <row r="29" spans="1:14">
      <c r="A29" t="s">
        <v>1141</v>
      </c>
      <c r="C29" s="7"/>
      <c r="D29" t="s">
        <v>1552</v>
      </c>
      <c r="E29" s="7"/>
      <c r="F29" t="s">
        <v>1888</v>
      </c>
      <c r="G29" t="s">
        <v>1888</v>
      </c>
      <c r="J29" s="5"/>
      <c r="L29" s="5">
        <f t="shared" si="0"/>
        <v>0</v>
      </c>
      <c r="N29" s="5"/>
    </row>
    <row r="30" spans="1:14">
      <c r="A30" t="s">
        <v>1935</v>
      </c>
      <c r="C30" t="s">
        <v>1936</v>
      </c>
      <c r="D30" t="s">
        <v>1937</v>
      </c>
      <c r="E30" s="7"/>
      <c r="F30" t="s">
        <v>1938</v>
      </c>
      <c r="G30" t="s">
        <v>1938</v>
      </c>
      <c r="J30" s="5"/>
      <c r="L30" s="5">
        <f t="shared" si="0"/>
        <v>0</v>
      </c>
      <c r="N30" s="5"/>
    </row>
    <row r="31" spans="1:14">
      <c r="A31" t="s">
        <v>1627</v>
      </c>
      <c r="C31" s="7"/>
      <c r="D31" t="s">
        <v>1628</v>
      </c>
      <c r="E31" s="7"/>
      <c r="F31" t="s">
        <v>1629</v>
      </c>
      <c r="G31" t="s">
        <v>1629</v>
      </c>
      <c r="J31" s="5"/>
      <c r="L31" s="5">
        <f t="shared" si="0"/>
        <v>0</v>
      </c>
      <c r="N31" s="5"/>
    </row>
    <row r="32" spans="1:14">
      <c r="A32" t="s">
        <v>2077</v>
      </c>
      <c r="C32" s="7"/>
      <c r="D32" t="s">
        <v>1663</v>
      </c>
      <c r="E32" t="s">
        <v>2069</v>
      </c>
      <c r="F32" t="s">
        <v>2078</v>
      </c>
      <c r="G32" s="7"/>
      <c r="J32" s="5"/>
      <c r="L32" s="5">
        <f t="shared" si="0"/>
        <v>0</v>
      </c>
      <c r="N32" s="5"/>
    </row>
    <row r="33" spans="1:14">
      <c r="A33" t="s">
        <v>96</v>
      </c>
      <c r="C33" s="7"/>
      <c r="D33" t="s">
        <v>1541</v>
      </c>
      <c r="E33" t="s">
        <v>1596</v>
      </c>
      <c r="F33" t="s">
        <v>1660</v>
      </c>
      <c r="G33" t="s">
        <v>1660</v>
      </c>
      <c r="J33" s="5"/>
      <c r="L33" s="5">
        <f t="shared" si="0"/>
        <v>0</v>
      </c>
      <c r="N33" s="5"/>
    </row>
    <row r="34" spans="1:14">
      <c r="A34" t="s">
        <v>2033</v>
      </c>
      <c r="C34" s="7"/>
      <c r="D34" t="s">
        <v>1541</v>
      </c>
      <c r="E34" s="7"/>
      <c r="F34" t="s">
        <v>2034</v>
      </c>
      <c r="G34" t="s">
        <v>2034</v>
      </c>
      <c r="J34" s="5"/>
      <c r="L34" s="5">
        <f t="shared" si="0"/>
        <v>0</v>
      </c>
      <c r="N34" s="5"/>
    </row>
    <row r="35" spans="1:14">
      <c r="A35" t="s">
        <v>1582</v>
      </c>
      <c r="C35" t="s">
        <v>1583</v>
      </c>
      <c r="D35" t="s">
        <v>1552</v>
      </c>
      <c r="E35" s="7"/>
      <c r="F35" t="s">
        <v>1584</v>
      </c>
      <c r="G35" t="s">
        <v>1584</v>
      </c>
      <c r="J35" s="5"/>
      <c r="L35" s="5">
        <f t="shared" si="0"/>
        <v>0</v>
      </c>
      <c r="N35" s="5"/>
    </row>
    <row r="36" spans="1:14">
      <c r="A36" t="s">
        <v>905</v>
      </c>
      <c r="C36" s="7"/>
      <c r="D36" t="s">
        <v>1652</v>
      </c>
      <c r="E36" s="7"/>
      <c r="F36" t="s">
        <v>1653</v>
      </c>
      <c r="G36" t="s">
        <v>1653</v>
      </c>
      <c r="J36" s="5"/>
      <c r="L36" s="5">
        <f t="shared" si="0"/>
        <v>0</v>
      </c>
      <c r="N36" s="5"/>
    </row>
    <row r="37" spans="1:14">
      <c r="A37" t="s">
        <v>1707</v>
      </c>
      <c r="C37" s="7"/>
      <c r="D37" t="s">
        <v>1663</v>
      </c>
      <c r="E37" t="s">
        <v>1596</v>
      </c>
      <c r="F37" t="s">
        <v>1708</v>
      </c>
      <c r="G37" s="7"/>
      <c r="J37" s="5"/>
      <c r="L37" s="5">
        <f t="shared" si="0"/>
        <v>0</v>
      </c>
      <c r="N37" s="5"/>
    </row>
    <row r="38" spans="1:14">
      <c r="A38" t="s">
        <v>111</v>
      </c>
      <c r="C38" s="7"/>
      <c r="D38" t="s">
        <v>1552</v>
      </c>
      <c r="E38" s="7"/>
      <c r="F38" t="s">
        <v>1744</v>
      </c>
      <c r="G38" t="s">
        <v>1744</v>
      </c>
      <c r="J38" s="5"/>
      <c r="L38" s="5">
        <f t="shared" si="0"/>
        <v>0</v>
      </c>
      <c r="N38" s="5"/>
    </row>
    <row r="39" spans="1:14">
      <c r="A39" t="s">
        <v>1805</v>
      </c>
      <c r="C39" s="7"/>
      <c r="D39" t="s">
        <v>1552</v>
      </c>
      <c r="E39" s="7"/>
      <c r="F39" t="s">
        <v>1806</v>
      </c>
      <c r="G39" t="s">
        <v>1806</v>
      </c>
      <c r="J39" s="5"/>
      <c r="L39" s="5">
        <f t="shared" si="0"/>
        <v>0</v>
      </c>
      <c r="N39" s="5"/>
    </row>
    <row r="40" spans="1:14">
      <c r="A40" t="s">
        <v>1810</v>
      </c>
      <c r="C40" s="7"/>
      <c r="D40" t="s">
        <v>1811</v>
      </c>
      <c r="E40" s="7"/>
      <c r="F40" t="s">
        <v>1812</v>
      </c>
      <c r="G40" t="s">
        <v>1812</v>
      </c>
      <c r="J40" s="5"/>
      <c r="L40" s="5">
        <f t="shared" si="0"/>
        <v>0</v>
      </c>
      <c r="N40" s="5"/>
    </row>
    <row r="41" spans="1:14">
      <c r="A41" t="s">
        <v>1884</v>
      </c>
      <c r="C41" t="s">
        <v>1885</v>
      </c>
      <c r="D41" t="s">
        <v>1886</v>
      </c>
      <c r="E41" s="7"/>
      <c r="F41" t="s">
        <v>1887</v>
      </c>
      <c r="G41" t="s">
        <v>1887</v>
      </c>
      <c r="J41" s="5"/>
      <c r="L41" s="5">
        <f t="shared" si="0"/>
        <v>0</v>
      </c>
      <c r="N41" s="5"/>
    </row>
    <row r="42" spans="1:14">
      <c r="A42" t="s">
        <v>2060</v>
      </c>
      <c r="C42" s="7"/>
      <c r="D42" t="s">
        <v>2061</v>
      </c>
      <c r="E42" t="s">
        <v>2060</v>
      </c>
      <c r="F42" t="s">
        <v>2062</v>
      </c>
      <c r="G42" t="s">
        <v>2062</v>
      </c>
      <c r="J42" s="5"/>
      <c r="L42" s="5">
        <f t="shared" si="0"/>
        <v>0</v>
      </c>
      <c r="N42" s="5"/>
    </row>
    <row r="43" spans="1:14">
      <c r="A43" t="s">
        <v>2281</v>
      </c>
      <c r="C43" s="7"/>
      <c r="D43" t="s">
        <v>1552</v>
      </c>
      <c r="E43" s="7"/>
      <c r="F43" t="s">
        <v>2282</v>
      </c>
      <c r="G43" t="s">
        <v>2282</v>
      </c>
      <c r="J43" s="5"/>
      <c r="L43" s="5">
        <f t="shared" si="0"/>
        <v>0</v>
      </c>
      <c r="N43" s="5"/>
    </row>
    <row r="44" spans="1:14">
      <c r="A44" t="s">
        <v>166</v>
      </c>
      <c r="C44" s="7"/>
      <c r="D44" t="s">
        <v>1865</v>
      </c>
      <c r="E44" s="7"/>
      <c r="F44" t="s">
        <v>1866</v>
      </c>
      <c r="G44" t="s">
        <v>1866</v>
      </c>
      <c r="J44" s="5"/>
      <c r="L44" s="5">
        <f t="shared" si="0"/>
        <v>0</v>
      </c>
      <c r="N44" s="5"/>
    </row>
    <row r="45" spans="1:14">
      <c r="A45" t="s">
        <v>2071</v>
      </c>
      <c r="C45" s="7"/>
      <c r="D45" t="s">
        <v>1663</v>
      </c>
      <c r="E45" t="s">
        <v>2069</v>
      </c>
      <c r="F45" t="s">
        <v>2072</v>
      </c>
      <c r="G45" s="7"/>
      <c r="J45" s="5"/>
      <c r="L45" s="5">
        <f t="shared" si="0"/>
        <v>0</v>
      </c>
      <c r="N45" s="5"/>
    </row>
    <row r="46" spans="1:14">
      <c r="A46" t="s">
        <v>1540</v>
      </c>
      <c r="C46" s="7"/>
      <c r="D46" t="s">
        <v>1541</v>
      </c>
      <c r="E46" t="s">
        <v>1542</v>
      </c>
      <c r="F46" t="s">
        <v>1543</v>
      </c>
      <c r="G46" s="7"/>
      <c r="J46" s="5"/>
      <c r="L46" s="5">
        <f t="shared" si="0"/>
        <v>0</v>
      </c>
      <c r="N46" s="5"/>
    </row>
    <row r="47" spans="1:14">
      <c r="A47" t="s">
        <v>1747</v>
      </c>
      <c r="C47" s="7"/>
      <c r="D47" t="s">
        <v>1748</v>
      </c>
      <c r="E47" s="7"/>
      <c r="F47" t="s">
        <v>1749</v>
      </c>
      <c r="G47" t="s">
        <v>1749</v>
      </c>
      <c r="J47" s="5"/>
      <c r="L47" s="5">
        <f t="shared" si="0"/>
        <v>0</v>
      </c>
      <c r="N47" s="5"/>
    </row>
    <row r="48" spans="1:14">
      <c r="A48" t="s">
        <v>2299</v>
      </c>
      <c r="C48" s="7"/>
      <c r="D48" t="s">
        <v>2300</v>
      </c>
      <c r="E48" t="s">
        <v>2299</v>
      </c>
      <c r="F48" t="s">
        <v>2301</v>
      </c>
      <c r="G48" t="s">
        <v>2301</v>
      </c>
      <c r="J48" s="5"/>
      <c r="L48" s="5">
        <f t="shared" si="0"/>
        <v>0</v>
      </c>
      <c r="N48" s="5"/>
    </row>
    <row r="49" spans="1:14">
      <c r="A49" t="s">
        <v>1565</v>
      </c>
      <c r="C49" s="7"/>
      <c r="D49" t="s">
        <v>1566</v>
      </c>
      <c r="E49" t="s">
        <v>1567</v>
      </c>
      <c r="F49" t="s">
        <v>1568</v>
      </c>
      <c r="G49" s="7"/>
      <c r="J49" s="5"/>
      <c r="L49" s="5">
        <f t="shared" si="0"/>
        <v>0</v>
      </c>
      <c r="N49" s="5"/>
    </row>
    <row r="50" spans="1:14">
      <c r="A50" t="s">
        <v>1649</v>
      </c>
      <c r="C50" s="7"/>
      <c r="D50" t="s">
        <v>1650</v>
      </c>
      <c r="E50" s="7"/>
      <c r="F50" t="s">
        <v>1651</v>
      </c>
      <c r="G50" t="s">
        <v>1651</v>
      </c>
      <c r="J50" s="5"/>
      <c r="L50" s="5">
        <f t="shared" si="0"/>
        <v>0</v>
      </c>
      <c r="N50" s="5"/>
    </row>
    <row r="51" spans="1:14">
      <c r="A51" t="s">
        <v>1678</v>
      </c>
      <c r="C51" s="7"/>
      <c r="D51" s="7"/>
      <c r="E51" t="s">
        <v>1679</v>
      </c>
      <c r="F51" t="s">
        <v>1680</v>
      </c>
      <c r="G51" t="s">
        <v>1680</v>
      </c>
      <c r="J51" s="5"/>
      <c r="L51" s="5">
        <f t="shared" si="0"/>
        <v>0</v>
      </c>
      <c r="N51" s="5"/>
    </row>
    <row r="52" spans="1:14">
      <c r="A52" t="s">
        <v>1526</v>
      </c>
      <c r="C52" s="7"/>
      <c r="D52" t="s">
        <v>1787</v>
      </c>
      <c r="E52" s="7"/>
      <c r="F52" t="s">
        <v>1788</v>
      </c>
      <c r="G52" t="s">
        <v>1788</v>
      </c>
      <c r="J52" s="5"/>
      <c r="L52" s="5">
        <f t="shared" si="0"/>
        <v>0</v>
      </c>
      <c r="N52" s="5"/>
    </row>
    <row r="53" spans="1:14">
      <c r="A53" t="s">
        <v>1623</v>
      </c>
      <c r="C53" t="s">
        <v>1624</v>
      </c>
      <c r="D53" t="s">
        <v>1625</v>
      </c>
      <c r="E53" s="7"/>
      <c r="F53" t="s">
        <v>1626</v>
      </c>
      <c r="G53" t="s">
        <v>1626</v>
      </c>
      <c r="J53" s="5"/>
      <c r="L53" s="5">
        <f t="shared" si="0"/>
        <v>0</v>
      </c>
      <c r="N53" s="5"/>
    </row>
    <row r="54" spans="1:14">
      <c r="A54" t="s">
        <v>1756</v>
      </c>
      <c r="C54" s="7"/>
      <c r="D54" t="s">
        <v>1757</v>
      </c>
      <c r="E54" s="7"/>
      <c r="F54" t="s">
        <v>1758</v>
      </c>
      <c r="G54" t="s">
        <v>1758</v>
      </c>
      <c r="J54" s="5"/>
      <c r="L54" s="5">
        <f t="shared" si="0"/>
        <v>0</v>
      </c>
      <c r="N54" s="5"/>
    </row>
    <row r="55" spans="1:14">
      <c r="A55" t="s">
        <v>55</v>
      </c>
      <c r="C55" s="7"/>
      <c r="D55" t="s">
        <v>1552</v>
      </c>
      <c r="E55" s="7"/>
      <c r="F55" t="s">
        <v>1554</v>
      </c>
      <c r="G55" t="s">
        <v>1554</v>
      </c>
      <c r="J55" s="5"/>
      <c r="L55" s="5">
        <f t="shared" si="0"/>
        <v>0</v>
      </c>
      <c r="N55" s="5"/>
    </row>
    <row r="56" spans="1:14">
      <c r="A56" t="s">
        <v>1670</v>
      </c>
      <c r="C56" t="s">
        <v>1671</v>
      </c>
      <c r="D56" t="s">
        <v>1672</v>
      </c>
      <c r="E56" t="s">
        <v>1673</v>
      </c>
      <c r="F56" t="s">
        <v>1674</v>
      </c>
      <c r="G56" t="s">
        <v>1674</v>
      </c>
      <c r="J56" s="5"/>
      <c r="L56" s="5">
        <f t="shared" si="0"/>
        <v>0</v>
      </c>
      <c r="N56" s="5"/>
    </row>
    <row r="57" spans="1:14">
      <c r="A57" t="s">
        <v>1634</v>
      </c>
      <c r="C57" t="s">
        <v>1635</v>
      </c>
      <c r="D57" t="s">
        <v>1552</v>
      </c>
      <c r="E57" s="7"/>
      <c r="F57" t="s">
        <v>1636</v>
      </c>
      <c r="G57" t="s">
        <v>1636</v>
      </c>
      <c r="J57" s="5"/>
      <c r="L57" s="5">
        <f t="shared" si="0"/>
        <v>0</v>
      </c>
      <c r="N57" s="5"/>
    </row>
    <row r="58" spans="1:14">
      <c r="A58" t="s">
        <v>992</v>
      </c>
      <c r="C58" s="7"/>
      <c r="D58" t="s">
        <v>1764</v>
      </c>
      <c r="E58" s="7"/>
      <c r="F58" t="s">
        <v>1765</v>
      </c>
      <c r="G58" t="s">
        <v>1765</v>
      </c>
      <c r="J58" s="5"/>
      <c r="L58" s="5">
        <f t="shared" si="0"/>
        <v>0</v>
      </c>
      <c r="N58" s="5"/>
    </row>
    <row r="59" spans="1:14">
      <c r="A59" t="s">
        <v>1008</v>
      </c>
      <c r="C59" s="7"/>
      <c r="D59" t="s">
        <v>1793</v>
      </c>
      <c r="E59" s="7"/>
      <c r="F59" t="s">
        <v>1794</v>
      </c>
      <c r="G59" t="s">
        <v>1794</v>
      </c>
      <c r="J59" s="5"/>
      <c r="L59" s="5">
        <f t="shared" si="0"/>
        <v>0</v>
      </c>
      <c r="N59" s="5"/>
    </row>
    <row r="60" spans="1:14">
      <c r="A60" t="s">
        <v>1952</v>
      </c>
      <c r="C60" t="s">
        <v>1953</v>
      </c>
      <c r="D60" t="s">
        <v>1954</v>
      </c>
      <c r="E60" s="7"/>
      <c r="F60" t="s">
        <v>1955</v>
      </c>
      <c r="G60" t="s">
        <v>1955</v>
      </c>
      <c r="J60" s="5"/>
      <c r="L60" s="5">
        <f t="shared" si="0"/>
        <v>0</v>
      </c>
      <c r="N60" s="5"/>
    </row>
    <row r="61" spans="1:14">
      <c r="A61" t="s">
        <v>1355</v>
      </c>
      <c r="C61" t="s">
        <v>2050</v>
      </c>
      <c r="D61" t="s">
        <v>2051</v>
      </c>
      <c r="E61" s="7"/>
      <c r="F61" t="s">
        <v>2052</v>
      </c>
      <c r="G61" t="s">
        <v>2052</v>
      </c>
      <c r="J61" s="5"/>
      <c r="L61" s="5">
        <f t="shared" si="0"/>
        <v>0</v>
      </c>
      <c r="N61" s="5"/>
    </row>
    <row r="62" spans="1:14">
      <c r="A62" t="s">
        <v>870</v>
      </c>
      <c r="C62" t="s">
        <v>1615</v>
      </c>
      <c r="D62" t="s">
        <v>1616</v>
      </c>
      <c r="E62" t="s">
        <v>1617</v>
      </c>
      <c r="F62" t="s">
        <v>1618</v>
      </c>
      <c r="G62" t="s">
        <v>1618</v>
      </c>
      <c r="J62" s="5"/>
      <c r="L62" s="5">
        <f t="shared" si="0"/>
        <v>0</v>
      </c>
      <c r="N62" s="5"/>
    </row>
    <row r="63" spans="1:14">
      <c r="A63" t="s">
        <v>1932</v>
      </c>
      <c r="C63" t="s">
        <v>1933</v>
      </c>
      <c r="D63" t="s">
        <v>1552</v>
      </c>
      <c r="E63" s="7"/>
      <c r="F63" t="s">
        <v>1934</v>
      </c>
      <c r="G63" t="s">
        <v>1934</v>
      </c>
      <c r="J63" s="5"/>
      <c r="L63" s="5">
        <f t="shared" si="0"/>
        <v>0</v>
      </c>
      <c r="N63" s="5"/>
    </row>
    <row r="64" spans="1:14">
      <c r="A64" t="s">
        <v>311</v>
      </c>
      <c r="C64" t="s">
        <v>1555</v>
      </c>
      <c r="D64" t="s">
        <v>1552</v>
      </c>
      <c r="E64" s="7"/>
      <c r="F64" t="s">
        <v>1558</v>
      </c>
      <c r="G64" t="s">
        <v>1558</v>
      </c>
      <c r="J64" s="5"/>
      <c r="L64" s="5">
        <f t="shared" si="0"/>
        <v>0</v>
      </c>
      <c r="N64" s="5"/>
    </row>
    <row r="65" spans="1:14">
      <c r="A65" t="s">
        <v>1990</v>
      </c>
      <c r="C65" s="7"/>
      <c r="D65" t="s">
        <v>1552</v>
      </c>
      <c r="E65" s="7"/>
      <c r="F65" t="s">
        <v>1991</v>
      </c>
      <c r="G65" t="s">
        <v>1991</v>
      </c>
      <c r="J65" s="5"/>
      <c r="L65" s="5">
        <f t="shared" si="0"/>
        <v>0</v>
      </c>
      <c r="N65" s="5"/>
    </row>
    <row r="66" spans="1:14">
      <c r="A66" t="s">
        <v>2014</v>
      </c>
      <c r="C66" t="s">
        <v>2015</v>
      </c>
      <c r="D66" t="s">
        <v>2016</v>
      </c>
      <c r="E66" t="s">
        <v>2017</v>
      </c>
      <c r="F66" t="s">
        <v>2018</v>
      </c>
      <c r="G66" t="s">
        <v>2018</v>
      </c>
      <c r="J66" s="5"/>
      <c r="L66" s="5">
        <f t="shared" ref="L66:L129" si="1">IFERROR(EDATE(J66,K66),"-")</f>
        <v>0</v>
      </c>
      <c r="N66" s="5"/>
    </row>
    <row r="67" spans="1:14">
      <c r="A67" t="s">
        <v>1824</v>
      </c>
      <c r="C67" t="s">
        <v>1825</v>
      </c>
      <c r="D67" t="s">
        <v>1552</v>
      </c>
      <c r="E67" s="7"/>
      <c r="F67" t="s">
        <v>1826</v>
      </c>
      <c r="G67" t="s">
        <v>1826</v>
      </c>
      <c r="J67" s="5"/>
      <c r="L67" s="5">
        <f t="shared" si="1"/>
        <v>0</v>
      </c>
      <c r="N67" s="5"/>
    </row>
    <row r="68" spans="1:14">
      <c r="A68" t="s">
        <v>2307</v>
      </c>
      <c r="C68" t="s">
        <v>2308</v>
      </c>
      <c r="D68" t="s">
        <v>2304</v>
      </c>
      <c r="E68" t="s">
        <v>2309</v>
      </c>
      <c r="F68" t="s">
        <v>2310</v>
      </c>
      <c r="G68" t="s">
        <v>2311</v>
      </c>
      <c r="J68" s="5"/>
      <c r="L68" s="5">
        <f t="shared" si="1"/>
        <v>0</v>
      </c>
      <c r="N68" s="5"/>
    </row>
    <row r="69" spans="1:14">
      <c r="A69" t="s">
        <v>1813</v>
      </c>
      <c r="C69" t="s">
        <v>1814</v>
      </c>
      <c r="D69" t="s">
        <v>1552</v>
      </c>
      <c r="E69" s="7"/>
      <c r="F69" t="s">
        <v>1815</v>
      </c>
      <c r="G69" t="s">
        <v>1815</v>
      </c>
      <c r="J69" s="5"/>
      <c r="L69" s="5">
        <f t="shared" si="1"/>
        <v>0</v>
      </c>
      <c r="N69" s="5"/>
    </row>
    <row r="70" spans="1:14">
      <c r="A70" t="s">
        <v>1720</v>
      </c>
      <c r="C70" t="s">
        <v>1721</v>
      </c>
      <c r="D70" t="s">
        <v>1541</v>
      </c>
      <c r="E70" t="s">
        <v>1720</v>
      </c>
      <c r="F70" t="s">
        <v>1722</v>
      </c>
      <c r="G70" t="s">
        <v>1722</v>
      </c>
      <c r="J70" s="5"/>
      <c r="L70" s="5">
        <f t="shared" si="1"/>
        <v>0</v>
      </c>
      <c r="N70" s="5"/>
    </row>
    <row r="71" spans="1:14">
      <c r="A71" t="s">
        <v>1928</v>
      </c>
      <c r="C71" s="7"/>
      <c r="D71" t="s">
        <v>1929</v>
      </c>
      <c r="E71" s="7"/>
      <c r="F71" t="s">
        <v>1930</v>
      </c>
      <c r="G71" t="s">
        <v>1930</v>
      </c>
      <c r="J71" s="5"/>
      <c r="L71" s="5">
        <f t="shared" si="1"/>
        <v>0</v>
      </c>
      <c r="N71" s="5"/>
    </row>
    <row r="72" spans="1:14">
      <c r="A72" t="s">
        <v>1102</v>
      </c>
      <c r="C72" s="7"/>
      <c r="D72" t="s">
        <v>1850</v>
      </c>
      <c r="E72" t="s">
        <v>1102</v>
      </c>
      <c r="F72" t="s">
        <v>1851</v>
      </c>
      <c r="G72" t="s">
        <v>1851</v>
      </c>
      <c r="J72" s="5"/>
      <c r="L72" s="5">
        <f t="shared" si="1"/>
        <v>0</v>
      </c>
      <c r="N72" s="5"/>
    </row>
    <row r="73" spans="1:14">
      <c r="A73" t="s">
        <v>210</v>
      </c>
      <c r="C73" s="7"/>
      <c r="D73" s="7"/>
      <c r="E73" s="7"/>
      <c r="F73" t="s">
        <v>1986</v>
      </c>
      <c r="G73" s="7"/>
      <c r="J73" s="5"/>
      <c r="L73" s="5">
        <f t="shared" si="1"/>
        <v>0</v>
      </c>
      <c r="N73" s="5"/>
    </row>
    <row r="74" spans="1:14">
      <c r="A74" t="s">
        <v>1099</v>
      </c>
      <c r="C74" s="7"/>
      <c r="D74" t="s">
        <v>1848</v>
      </c>
      <c r="E74" s="7"/>
      <c r="F74" t="s">
        <v>1849</v>
      </c>
      <c r="G74" t="s">
        <v>1849</v>
      </c>
      <c r="J74" s="5"/>
      <c r="L74" s="5">
        <f t="shared" si="1"/>
        <v>0</v>
      </c>
      <c r="N74" s="5"/>
    </row>
    <row r="75" spans="1:14">
      <c r="A75" t="s">
        <v>1768</v>
      </c>
      <c r="C75" s="7"/>
      <c r="D75" t="s">
        <v>1769</v>
      </c>
      <c r="E75" s="7"/>
      <c r="F75" t="s">
        <v>1770</v>
      </c>
      <c r="G75" t="s">
        <v>1770</v>
      </c>
      <c r="J75" s="5"/>
      <c r="L75" s="5">
        <f t="shared" si="1"/>
        <v>0</v>
      </c>
      <c r="N75" s="5"/>
    </row>
    <row r="76" spans="1:14">
      <c r="A76" t="s">
        <v>1795</v>
      </c>
      <c r="C76" t="s">
        <v>1796</v>
      </c>
      <c r="D76" t="s">
        <v>1797</v>
      </c>
      <c r="E76" s="7"/>
      <c r="F76" t="s">
        <v>1798</v>
      </c>
      <c r="G76" t="s">
        <v>1798</v>
      </c>
      <c r="J76" s="5"/>
      <c r="L76" s="5">
        <f t="shared" si="1"/>
        <v>0</v>
      </c>
      <c r="N76" s="5"/>
    </row>
    <row r="77" spans="1:14">
      <c r="A77" t="s">
        <v>1859</v>
      </c>
      <c r="C77" s="7"/>
      <c r="D77" s="7"/>
      <c r="E77" s="7"/>
      <c r="F77" t="s">
        <v>1860</v>
      </c>
      <c r="G77" t="s">
        <v>1860</v>
      </c>
      <c r="J77" s="5"/>
      <c r="L77" s="5">
        <f t="shared" si="1"/>
        <v>0</v>
      </c>
      <c r="N77" s="5"/>
    </row>
    <row r="78" spans="1:14">
      <c r="A78" t="s">
        <v>1972</v>
      </c>
      <c r="C78" s="7"/>
      <c r="D78" s="7"/>
      <c r="E78" t="s">
        <v>1596</v>
      </c>
      <c r="F78" t="s">
        <v>1973</v>
      </c>
      <c r="G78" t="s">
        <v>1973</v>
      </c>
      <c r="J78" s="5"/>
      <c r="L78" s="5">
        <f t="shared" si="1"/>
        <v>0</v>
      </c>
      <c r="N78" s="5"/>
    </row>
    <row r="79" spans="1:14">
      <c r="A79" t="s">
        <v>1974</v>
      </c>
      <c r="C79" t="s">
        <v>1975</v>
      </c>
      <c r="D79" t="s">
        <v>1976</v>
      </c>
      <c r="E79" t="s">
        <v>1977</v>
      </c>
      <c r="F79" t="s">
        <v>1978</v>
      </c>
      <c r="G79" s="7"/>
      <c r="J79" s="5"/>
      <c r="L79" s="5">
        <f t="shared" si="1"/>
        <v>0</v>
      </c>
      <c r="N79" s="5"/>
    </row>
    <row r="80" spans="1:14">
      <c r="A80" t="s">
        <v>1979</v>
      </c>
      <c r="C80" t="s">
        <v>1975</v>
      </c>
      <c r="D80" t="s">
        <v>1980</v>
      </c>
      <c r="E80" t="s">
        <v>1977</v>
      </c>
      <c r="F80" t="s">
        <v>1978</v>
      </c>
      <c r="G80" s="7"/>
      <c r="J80" s="5"/>
      <c r="L80" s="5">
        <f t="shared" si="1"/>
        <v>0</v>
      </c>
      <c r="N80" s="5"/>
    </row>
    <row r="81" spans="1:14">
      <c r="A81" t="s">
        <v>1981</v>
      </c>
      <c r="C81" s="7"/>
      <c r="D81" t="s">
        <v>1982</v>
      </c>
      <c r="E81" t="s">
        <v>1983</v>
      </c>
      <c r="F81" t="s">
        <v>1978</v>
      </c>
      <c r="G81" s="7"/>
      <c r="J81" s="5"/>
      <c r="L81" s="5">
        <f t="shared" si="1"/>
        <v>0</v>
      </c>
      <c r="N81" s="5"/>
    </row>
    <row r="82" spans="1:14">
      <c r="A82" t="s">
        <v>1619</v>
      </c>
      <c r="C82" t="s">
        <v>1620</v>
      </c>
      <c r="D82" t="s">
        <v>1621</v>
      </c>
      <c r="E82" t="s">
        <v>75</v>
      </c>
      <c r="F82" t="s">
        <v>1622</v>
      </c>
      <c r="G82" t="s">
        <v>1622</v>
      </c>
      <c r="J82" s="5"/>
      <c r="L82" s="5">
        <f t="shared" si="1"/>
        <v>0</v>
      </c>
      <c r="N82" s="5"/>
    </row>
    <row r="83" spans="1:14">
      <c r="A83" t="s">
        <v>2302</v>
      </c>
      <c r="C83" t="s">
        <v>2303</v>
      </c>
      <c r="D83" t="s">
        <v>2304</v>
      </c>
      <c r="E83" t="s">
        <v>2305</v>
      </c>
      <c r="F83" t="s">
        <v>2306</v>
      </c>
      <c r="G83" t="s">
        <v>2306</v>
      </c>
      <c r="J83" s="5"/>
      <c r="L83" s="5">
        <f t="shared" si="1"/>
        <v>0</v>
      </c>
      <c r="N83" s="5"/>
    </row>
    <row r="84" spans="1:14">
      <c r="A84" t="s">
        <v>2083</v>
      </c>
      <c r="C84" s="7"/>
      <c r="D84" t="s">
        <v>1631</v>
      </c>
      <c r="E84" t="s">
        <v>2069</v>
      </c>
      <c r="F84" t="s">
        <v>2084</v>
      </c>
      <c r="G84" s="7"/>
      <c r="J84" s="5"/>
      <c r="L84" s="5">
        <f t="shared" si="1"/>
        <v>0</v>
      </c>
      <c r="N84" s="5"/>
    </row>
    <row r="85" spans="1:14">
      <c r="A85" t="s">
        <v>1681</v>
      </c>
      <c r="C85" s="7"/>
      <c r="D85" t="s">
        <v>1552</v>
      </c>
      <c r="E85" s="7"/>
      <c r="F85" t="s">
        <v>1682</v>
      </c>
      <c r="G85" t="s">
        <v>1682</v>
      </c>
      <c r="J85" s="5"/>
      <c r="L85" s="5">
        <f t="shared" si="1"/>
        <v>0</v>
      </c>
      <c r="N85" s="5"/>
    </row>
    <row r="86" spans="1:14">
      <c r="A86" t="s">
        <v>1882</v>
      </c>
      <c r="C86" s="7"/>
      <c r="D86" t="s">
        <v>1552</v>
      </c>
      <c r="E86" s="7"/>
      <c r="F86" t="s">
        <v>1883</v>
      </c>
      <c r="G86" t="s">
        <v>1883</v>
      </c>
      <c r="J86" s="5"/>
      <c r="L86" s="5">
        <f t="shared" si="1"/>
        <v>0</v>
      </c>
      <c r="N86" s="5"/>
    </row>
    <row r="87" spans="1:14">
      <c r="A87" t="s">
        <v>1925</v>
      </c>
      <c r="C87" s="7"/>
      <c r="D87" t="s">
        <v>1926</v>
      </c>
      <c r="E87" s="7"/>
      <c r="F87" t="s">
        <v>1927</v>
      </c>
      <c r="G87" t="s">
        <v>1927</v>
      </c>
      <c r="J87" s="5"/>
      <c r="L87" s="5">
        <f t="shared" si="1"/>
        <v>0</v>
      </c>
      <c r="N87" s="5"/>
    </row>
    <row r="88" spans="1:14">
      <c r="A88" t="s">
        <v>2035</v>
      </c>
      <c r="C88" t="s">
        <v>2036</v>
      </c>
      <c r="D88" t="s">
        <v>1552</v>
      </c>
      <c r="E88" s="7"/>
      <c r="F88" t="s">
        <v>2038</v>
      </c>
      <c r="G88" t="s">
        <v>2038</v>
      </c>
      <c r="J88" s="5"/>
      <c r="L88" s="5">
        <f t="shared" si="1"/>
        <v>0</v>
      </c>
      <c r="N88" s="5"/>
    </row>
    <row r="89" spans="1:14">
      <c r="A89" t="s">
        <v>842</v>
      </c>
      <c r="C89" s="7"/>
      <c r="D89" t="s">
        <v>1576</v>
      </c>
      <c r="E89" s="7"/>
      <c r="F89" t="s">
        <v>1577</v>
      </c>
      <c r="G89" t="s">
        <v>1577</v>
      </c>
      <c r="J89" s="5"/>
      <c r="L89" s="5">
        <f t="shared" si="1"/>
        <v>0</v>
      </c>
      <c r="N89" s="5"/>
    </row>
    <row r="90" spans="1:14">
      <c r="A90" t="s">
        <v>1591</v>
      </c>
      <c r="C90" s="7"/>
      <c r="D90" t="s">
        <v>1592</v>
      </c>
      <c r="E90" t="s">
        <v>1593</v>
      </c>
      <c r="F90" t="s">
        <v>1594</v>
      </c>
      <c r="G90" t="s">
        <v>1594</v>
      </c>
      <c r="J90" s="5"/>
      <c r="L90" s="5">
        <f t="shared" si="1"/>
        <v>0</v>
      </c>
      <c r="N90" s="5"/>
    </row>
    <row r="91" spans="1:14">
      <c r="A91" t="s">
        <v>1630</v>
      </c>
      <c r="C91" s="7"/>
      <c r="D91" t="s">
        <v>1631</v>
      </c>
      <c r="E91" t="s">
        <v>1632</v>
      </c>
      <c r="F91" t="s">
        <v>1633</v>
      </c>
      <c r="G91" s="7"/>
      <c r="J91" s="5"/>
      <c r="L91" s="5">
        <f t="shared" si="1"/>
        <v>0</v>
      </c>
      <c r="N91" s="5"/>
    </row>
    <row r="92" spans="1:14">
      <c r="A92" t="s">
        <v>1640</v>
      </c>
      <c r="C92" s="7"/>
      <c r="D92" t="s">
        <v>1641</v>
      </c>
      <c r="E92" s="7"/>
      <c r="F92" t="s">
        <v>1642</v>
      </c>
      <c r="G92" t="s">
        <v>1642</v>
      </c>
      <c r="J92" s="5"/>
      <c r="L92" s="5">
        <f t="shared" si="1"/>
        <v>0</v>
      </c>
      <c r="N92" s="5"/>
    </row>
    <row r="93" spans="1:14">
      <c r="A93" t="s">
        <v>1643</v>
      </c>
      <c r="C93" s="7"/>
      <c r="D93" s="7"/>
      <c r="E93" t="s">
        <v>1596</v>
      </c>
      <c r="F93" t="s">
        <v>1644</v>
      </c>
      <c r="G93" t="s">
        <v>1644</v>
      </c>
      <c r="J93" s="5"/>
      <c r="L93" s="5">
        <f t="shared" si="1"/>
        <v>0</v>
      </c>
      <c r="N93" s="5"/>
    </row>
    <row r="94" spans="1:14">
      <c r="A94" t="s">
        <v>1645</v>
      </c>
      <c r="C94" t="s">
        <v>1646</v>
      </c>
      <c r="D94" t="s">
        <v>1647</v>
      </c>
      <c r="E94" s="7"/>
      <c r="F94" t="s">
        <v>1648</v>
      </c>
      <c r="G94" t="s">
        <v>1648</v>
      </c>
      <c r="J94" s="5"/>
      <c r="L94" s="5">
        <f t="shared" si="1"/>
        <v>0</v>
      </c>
      <c r="N94" s="5"/>
    </row>
    <row r="95" spans="1:14">
      <c r="A95" t="s">
        <v>912</v>
      </c>
      <c r="C95" s="7"/>
      <c r="D95" t="s">
        <v>1656</v>
      </c>
      <c r="E95" t="s">
        <v>1596</v>
      </c>
      <c r="F95" t="s">
        <v>1657</v>
      </c>
      <c r="G95" s="7"/>
      <c r="J95" s="5"/>
      <c r="L95" s="5">
        <f t="shared" si="1"/>
        <v>0</v>
      </c>
      <c r="N95" s="5"/>
    </row>
    <row r="96" spans="1:14">
      <c r="A96" t="s">
        <v>1662</v>
      </c>
      <c r="C96" s="7"/>
      <c r="D96" t="s">
        <v>1663</v>
      </c>
      <c r="E96" t="s">
        <v>1664</v>
      </c>
      <c r="F96" t="s">
        <v>1665</v>
      </c>
      <c r="G96" s="7"/>
      <c r="J96" s="5"/>
      <c r="L96" s="5">
        <f t="shared" si="1"/>
        <v>0</v>
      </c>
      <c r="N96" s="5"/>
    </row>
    <row r="97" spans="1:14">
      <c r="A97" t="s">
        <v>99</v>
      </c>
      <c r="C97" s="7"/>
      <c r="D97" t="s">
        <v>1666</v>
      </c>
      <c r="E97" s="7"/>
      <c r="F97" t="s">
        <v>1667</v>
      </c>
      <c r="G97" t="s">
        <v>1667</v>
      </c>
      <c r="J97" s="5"/>
      <c r="L97" s="5">
        <f t="shared" si="1"/>
        <v>0</v>
      </c>
      <c r="N97" s="5"/>
    </row>
    <row r="98" spans="1:14">
      <c r="A98" t="s">
        <v>1668</v>
      </c>
      <c r="C98" s="7"/>
      <c r="D98" t="s">
        <v>1552</v>
      </c>
      <c r="E98" s="7"/>
      <c r="F98" t="s">
        <v>1669</v>
      </c>
      <c r="G98" t="s">
        <v>1669</v>
      </c>
      <c r="J98" s="5"/>
      <c r="L98" s="5">
        <f t="shared" si="1"/>
        <v>0</v>
      </c>
      <c r="N98" s="5"/>
    </row>
    <row r="99" spans="1:14">
      <c r="A99" t="s">
        <v>1693</v>
      </c>
      <c r="C99" t="s">
        <v>1694</v>
      </c>
      <c r="D99" t="s">
        <v>1695</v>
      </c>
      <c r="E99" t="s">
        <v>1696</v>
      </c>
      <c r="F99" t="s">
        <v>1697</v>
      </c>
      <c r="G99" t="s">
        <v>1698</v>
      </c>
      <c r="J99" s="5"/>
      <c r="L99" s="5">
        <f t="shared" si="1"/>
        <v>0</v>
      </c>
      <c r="N99" s="5"/>
    </row>
    <row r="100" spans="1:14">
      <c r="A100" t="s">
        <v>1775</v>
      </c>
      <c r="C100" s="7"/>
      <c r="D100" t="s">
        <v>1631</v>
      </c>
      <c r="E100" t="s">
        <v>1776</v>
      </c>
      <c r="F100" t="s">
        <v>1777</v>
      </c>
      <c r="G100" s="7"/>
      <c r="J100" s="5"/>
      <c r="L100" s="5">
        <f t="shared" si="1"/>
        <v>0</v>
      </c>
      <c r="N100" s="5"/>
    </row>
    <row r="101" spans="1:14">
      <c r="A101" t="s">
        <v>1832</v>
      </c>
      <c r="C101" s="7"/>
      <c r="D101" t="s">
        <v>1552</v>
      </c>
      <c r="E101" s="7"/>
      <c r="F101" t="s">
        <v>1833</v>
      </c>
      <c r="G101" t="s">
        <v>1833</v>
      </c>
      <c r="J101" s="5"/>
      <c r="L101" s="5">
        <f t="shared" si="1"/>
        <v>0</v>
      </c>
      <c r="N101" s="5"/>
    </row>
    <row r="102" spans="1:14">
      <c r="A102" t="s">
        <v>1835</v>
      </c>
      <c r="C102" s="7"/>
      <c r="D102" t="s">
        <v>1663</v>
      </c>
      <c r="E102" t="s">
        <v>1596</v>
      </c>
      <c r="F102" t="s">
        <v>1836</v>
      </c>
      <c r="G102" s="7"/>
      <c r="J102" s="5"/>
      <c r="L102" s="5">
        <f t="shared" si="1"/>
        <v>0</v>
      </c>
      <c r="N102" s="5"/>
    </row>
    <row r="103" spans="1:14">
      <c r="A103" t="s">
        <v>1922</v>
      </c>
      <c r="C103" s="7"/>
      <c r="D103" s="7"/>
      <c r="E103" t="s">
        <v>1922</v>
      </c>
      <c r="F103" t="s">
        <v>1923</v>
      </c>
      <c r="G103" t="s">
        <v>1923</v>
      </c>
      <c r="J103" s="5"/>
      <c r="L103" s="5">
        <f t="shared" si="1"/>
        <v>0</v>
      </c>
      <c r="N103" s="5"/>
    </row>
    <row r="104" spans="1:14">
      <c r="A104" t="s">
        <v>199</v>
      </c>
      <c r="C104" s="7"/>
      <c r="D104" t="s">
        <v>1552</v>
      </c>
      <c r="E104" t="s">
        <v>199</v>
      </c>
      <c r="F104" t="s">
        <v>1956</v>
      </c>
      <c r="G104" t="s">
        <v>1956</v>
      </c>
      <c r="J104" s="5"/>
      <c r="L104" s="5">
        <f t="shared" si="1"/>
        <v>0</v>
      </c>
      <c r="N104" s="5"/>
    </row>
    <row r="105" spans="1:14">
      <c r="A105" t="s">
        <v>1225</v>
      </c>
      <c r="C105" s="7"/>
      <c r="D105" t="s">
        <v>1552</v>
      </c>
      <c r="E105" t="s">
        <v>1596</v>
      </c>
      <c r="F105" t="s">
        <v>1967</v>
      </c>
      <c r="G105" t="s">
        <v>1967</v>
      </c>
      <c r="J105" s="5"/>
      <c r="L105" s="5">
        <f t="shared" si="1"/>
        <v>0</v>
      </c>
      <c r="N105" s="5"/>
    </row>
    <row r="106" spans="1:14">
      <c r="A106" t="s">
        <v>1984</v>
      </c>
      <c r="C106" s="7"/>
      <c r="D106" t="s">
        <v>1663</v>
      </c>
      <c r="E106" t="s">
        <v>1596</v>
      </c>
      <c r="F106" t="s">
        <v>1985</v>
      </c>
      <c r="G106" s="7"/>
      <c r="J106" s="5"/>
      <c r="L106" s="5">
        <f t="shared" si="1"/>
        <v>0</v>
      </c>
      <c r="N106" s="5"/>
    </row>
    <row r="107" spans="1:14">
      <c r="A107" t="s">
        <v>1994</v>
      </c>
      <c r="C107" s="7"/>
      <c r="D107" t="s">
        <v>1541</v>
      </c>
      <c r="E107" t="s">
        <v>1596</v>
      </c>
      <c r="F107" t="s">
        <v>1995</v>
      </c>
      <c r="G107" s="7"/>
      <c r="J107" s="5"/>
      <c r="L107" s="5">
        <f t="shared" si="1"/>
        <v>0</v>
      </c>
      <c r="N107" s="5"/>
    </row>
    <row r="108" spans="1:14">
      <c r="A108" t="s">
        <v>2002</v>
      </c>
      <c r="C108" t="s">
        <v>2003</v>
      </c>
      <c r="D108" t="s">
        <v>1790</v>
      </c>
      <c r="E108" s="7"/>
      <c r="F108" t="s">
        <v>2004</v>
      </c>
      <c r="G108" t="s">
        <v>2004</v>
      </c>
      <c r="J108" s="5"/>
      <c r="L108" s="5">
        <f t="shared" si="1"/>
        <v>0</v>
      </c>
      <c r="N108" s="5"/>
    </row>
    <row r="109" spans="1:14">
      <c r="A109" t="s">
        <v>2009</v>
      </c>
      <c r="C109" t="s">
        <v>2010</v>
      </c>
      <c r="D109" t="s">
        <v>2011</v>
      </c>
      <c r="E109" t="s">
        <v>2012</v>
      </c>
      <c r="F109" t="s">
        <v>2013</v>
      </c>
      <c r="G109" t="s">
        <v>2013</v>
      </c>
      <c r="J109" s="5"/>
      <c r="L109" s="5">
        <f t="shared" si="1"/>
        <v>0</v>
      </c>
      <c r="N109" s="5"/>
    </row>
    <row r="110" spans="1:14">
      <c r="A110" t="s">
        <v>2019</v>
      </c>
      <c r="C110" s="7"/>
      <c r="D110" t="s">
        <v>1656</v>
      </c>
      <c r="E110" t="s">
        <v>2020</v>
      </c>
      <c r="F110" t="s">
        <v>2021</v>
      </c>
      <c r="G110" s="7"/>
      <c r="J110" s="5"/>
      <c r="L110" s="5">
        <f t="shared" si="1"/>
        <v>0</v>
      </c>
      <c r="N110" s="5"/>
    </row>
    <row r="111" spans="1:14">
      <c r="A111" t="s">
        <v>2022</v>
      </c>
      <c r="C111" s="7"/>
      <c r="D111" t="s">
        <v>2023</v>
      </c>
      <c r="E111" s="7"/>
      <c r="F111" t="s">
        <v>2024</v>
      </c>
      <c r="G111" t="s">
        <v>2024</v>
      </c>
      <c r="J111" s="5"/>
      <c r="L111" s="5">
        <f t="shared" si="1"/>
        <v>0</v>
      </c>
      <c r="N111" s="5"/>
    </row>
    <row r="112" spans="1:14">
      <c r="A112" t="s">
        <v>2028</v>
      </c>
      <c r="C112" s="7"/>
      <c r="D112" t="s">
        <v>1552</v>
      </c>
      <c r="E112" s="7"/>
      <c r="F112" t="s">
        <v>2029</v>
      </c>
      <c r="G112" t="s">
        <v>2029</v>
      </c>
      <c r="J112" s="5"/>
      <c r="L112" s="5">
        <f t="shared" si="1"/>
        <v>0</v>
      </c>
      <c r="N112" s="5"/>
    </row>
    <row r="113" spans="1:14">
      <c r="A113" t="s">
        <v>2030</v>
      </c>
      <c r="C113" s="7"/>
      <c r="D113" t="s">
        <v>1541</v>
      </c>
      <c r="E113" s="7"/>
      <c r="F113" t="s">
        <v>2031</v>
      </c>
      <c r="G113" t="s">
        <v>2031</v>
      </c>
      <c r="J113" s="5"/>
      <c r="L113" s="5">
        <f t="shared" si="1"/>
        <v>0</v>
      </c>
      <c r="N113" s="5"/>
    </row>
    <row r="114" spans="1:14">
      <c r="A114" t="s">
        <v>2039</v>
      </c>
      <c r="C114" s="7"/>
      <c r="D114" s="7"/>
      <c r="E114" s="7"/>
      <c r="F114" t="s">
        <v>2040</v>
      </c>
      <c r="G114" t="s">
        <v>2040</v>
      </c>
      <c r="J114" s="5"/>
      <c r="L114" s="5">
        <f t="shared" si="1"/>
        <v>0</v>
      </c>
      <c r="N114" s="5"/>
    </row>
    <row r="115" spans="1:14">
      <c r="A115" t="s">
        <v>2058</v>
      </c>
      <c r="C115" s="7"/>
      <c r="D115" t="s">
        <v>1541</v>
      </c>
      <c r="E115" t="s">
        <v>1596</v>
      </c>
      <c r="F115" t="s">
        <v>2059</v>
      </c>
      <c r="G115" t="s">
        <v>2059</v>
      </c>
      <c r="J115" s="5"/>
      <c r="L115" s="5">
        <f t="shared" si="1"/>
        <v>0</v>
      </c>
      <c r="N115" s="5"/>
    </row>
    <row r="116" spans="1:14">
      <c r="A116" t="s">
        <v>2063</v>
      </c>
      <c r="C116" t="s">
        <v>2064</v>
      </c>
      <c r="D116" t="s">
        <v>1552</v>
      </c>
      <c r="E116" s="7"/>
      <c r="F116" t="s">
        <v>2065</v>
      </c>
      <c r="G116" t="s">
        <v>2065</v>
      </c>
      <c r="J116" s="5"/>
      <c r="L116" s="5">
        <f t="shared" si="1"/>
        <v>0</v>
      </c>
      <c r="N116" s="5"/>
    </row>
    <row r="117" spans="1:14">
      <c r="A117" t="s">
        <v>2068</v>
      </c>
      <c r="C117" s="7"/>
      <c r="D117" t="s">
        <v>1663</v>
      </c>
      <c r="E117" t="s">
        <v>2069</v>
      </c>
      <c r="F117" t="s">
        <v>2070</v>
      </c>
      <c r="G117" t="s">
        <v>2070</v>
      </c>
      <c r="J117" s="5"/>
      <c r="L117" s="5">
        <f t="shared" si="1"/>
        <v>0</v>
      </c>
      <c r="N117" s="5"/>
    </row>
    <row r="118" spans="1:14">
      <c r="A118" t="s">
        <v>2087</v>
      </c>
      <c r="C118" s="7"/>
      <c r="D118" t="s">
        <v>1663</v>
      </c>
      <c r="E118" t="s">
        <v>2069</v>
      </c>
      <c r="F118" t="s">
        <v>2088</v>
      </c>
      <c r="G118" s="7"/>
      <c r="J118" s="5"/>
      <c r="L118" s="5">
        <f t="shared" si="1"/>
        <v>0</v>
      </c>
      <c r="N118" s="5"/>
    </row>
    <row r="119" spans="1:14">
      <c r="A119" t="s">
        <v>2089</v>
      </c>
      <c r="C119" s="7"/>
      <c r="D119" t="s">
        <v>1541</v>
      </c>
      <c r="E119" t="s">
        <v>2069</v>
      </c>
      <c r="F119" t="s">
        <v>2090</v>
      </c>
      <c r="G119" s="7"/>
      <c r="J119" s="5"/>
      <c r="L119" s="5">
        <f t="shared" si="1"/>
        <v>0</v>
      </c>
      <c r="N119" s="5"/>
    </row>
    <row r="120" spans="1:14">
      <c r="A120" t="s">
        <v>2149</v>
      </c>
      <c r="C120" s="7"/>
      <c r="D120" t="s">
        <v>1663</v>
      </c>
      <c r="E120" t="s">
        <v>2069</v>
      </c>
      <c r="F120" t="s">
        <v>2150</v>
      </c>
      <c r="G120" t="s">
        <v>2150</v>
      </c>
      <c r="J120" s="5"/>
      <c r="L120" s="5">
        <f t="shared" si="1"/>
        <v>0</v>
      </c>
      <c r="N120" s="5"/>
    </row>
    <row r="121" spans="1:14">
      <c r="A121" t="s">
        <v>2193</v>
      </c>
      <c r="C121" s="7"/>
      <c r="D121" t="s">
        <v>1663</v>
      </c>
      <c r="E121" t="s">
        <v>2069</v>
      </c>
      <c r="F121" t="s">
        <v>2194</v>
      </c>
      <c r="G121" t="s">
        <v>2194</v>
      </c>
      <c r="J121" s="5"/>
      <c r="L121" s="5">
        <f t="shared" si="1"/>
        <v>0</v>
      </c>
      <c r="N121" s="5"/>
    </row>
    <row r="122" spans="1:14">
      <c r="A122" t="s">
        <v>2197</v>
      </c>
      <c r="C122" s="7"/>
      <c r="D122" t="s">
        <v>1663</v>
      </c>
      <c r="E122" t="s">
        <v>2069</v>
      </c>
      <c r="F122" t="s">
        <v>2198</v>
      </c>
      <c r="G122" t="s">
        <v>2198</v>
      </c>
      <c r="J122" s="5"/>
      <c r="L122" s="5">
        <f t="shared" si="1"/>
        <v>0</v>
      </c>
      <c r="N122" s="5"/>
    </row>
    <row r="123" spans="1:14">
      <c r="A123" t="s">
        <v>2209</v>
      </c>
      <c r="C123" s="7"/>
      <c r="D123" t="s">
        <v>1663</v>
      </c>
      <c r="E123" t="s">
        <v>2069</v>
      </c>
      <c r="F123" t="s">
        <v>2070</v>
      </c>
      <c r="G123" t="s">
        <v>2070</v>
      </c>
      <c r="J123" s="5"/>
      <c r="L123" s="5">
        <f t="shared" si="1"/>
        <v>0</v>
      </c>
      <c r="N123" s="5"/>
    </row>
    <row r="124" spans="1:14">
      <c r="A124" t="s">
        <v>2228</v>
      </c>
      <c r="C124" s="7"/>
      <c r="D124" t="s">
        <v>1663</v>
      </c>
      <c r="E124" t="s">
        <v>2069</v>
      </c>
      <c r="F124" t="s">
        <v>2070</v>
      </c>
      <c r="G124" t="s">
        <v>2070</v>
      </c>
      <c r="J124" s="5"/>
      <c r="L124" s="5">
        <f t="shared" si="1"/>
        <v>0</v>
      </c>
      <c r="N124" s="5"/>
    </row>
    <row r="125" spans="1:14">
      <c r="A125" t="s">
        <v>2241</v>
      </c>
      <c r="C125" s="7"/>
      <c r="D125" t="s">
        <v>1663</v>
      </c>
      <c r="E125" t="s">
        <v>2069</v>
      </c>
      <c r="F125" t="s">
        <v>2242</v>
      </c>
      <c r="G125" t="s">
        <v>2242</v>
      </c>
      <c r="J125" s="5"/>
      <c r="L125" s="5">
        <f t="shared" si="1"/>
        <v>0</v>
      </c>
      <c r="N125" s="5"/>
    </row>
    <row r="126" spans="1:14">
      <c r="A126" t="s">
        <v>2261</v>
      </c>
      <c r="C126" s="7"/>
      <c r="D126" t="s">
        <v>1541</v>
      </c>
      <c r="E126" t="s">
        <v>2262</v>
      </c>
      <c r="F126" t="s">
        <v>2070</v>
      </c>
      <c r="G126" s="7"/>
      <c r="J126" s="5"/>
      <c r="L126" s="5">
        <f t="shared" si="1"/>
        <v>0</v>
      </c>
      <c r="N126" s="5"/>
    </row>
    <row r="127" spans="1:14">
      <c r="A127" t="s">
        <v>2266</v>
      </c>
      <c r="C127" s="7"/>
      <c r="D127" t="s">
        <v>1663</v>
      </c>
      <c r="E127" t="s">
        <v>2069</v>
      </c>
      <c r="F127" t="s">
        <v>2267</v>
      </c>
      <c r="G127" s="7"/>
      <c r="J127" s="5"/>
      <c r="L127" s="5">
        <f t="shared" si="1"/>
        <v>0</v>
      </c>
      <c r="N127" s="5"/>
    </row>
    <row r="128" spans="1:14">
      <c r="A128" t="s">
        <v>2279</v>
      </c>
      <c r="C128" s="7"/>
      <c r="D128" t="s">
        <v>1663</v>
      </c>
      <c r="E128" t="s">
        <v>1596</v>
      </c>
      <c r="F128" t="s">
        <v>2280</v>
      </c>
      <c r="G128" s="7"/>
      <c r="J128" s="5"/>
      <c r="L128" s="5">
        <f t="shared" si="1"/>
        <v>0</v>
      </c>
      <c r="N128" s="5"/>
    </row>
    <row r="129" spans="1:14">
      <c r="A129" t="s">
        <v>2291</v>
      </c>
      <c r="C129" s="7"/>
      <c r="D129" s="7"/>
      <c r="E129" t="s">
        <v>2292</v>
      </c>
      <c r="F129" t="s">
        <v>2293</v>
      </c>
      <c r="G129" t="s">
        <v>2293</v>
      </c>
      <c r="J129" s="5"/>
      <c r="L129" s="5">
        <f t="shared" si="1"/>
        <v>0</v>
      </c>
      <c r="N129" s="5"/>
    </row>
    <row r="130" spans="1:14">
      <c r="A130" t="s">
        <v>620</v>
      </c>
      <c r="C130" s="7"/>
      <c r="D130" t="s">
        <v>1637</v>
      </c>
      <c r="E130" s="7"/>
      <c r="F130" t="s">
        <v>1639</v>
      </c>
      <c r="G130" s="7"/>
      <c r="J130" s="5"/>
      <c r="L130" s="5">
        <f t="shared" ref="L130:L193" si="2">IFERROR(EDATE(J130,K130),"-")</f>
        <v>0</v>
      </c>
      <c r="N130" s="5"/>
    </row>
    <row r="131" spans="1:14">
      <c r="A131" t="s">
        <v>1854</v>
      </c>
      <c r="C131" s="7"/>
      <c r="D131" s="7"/>
      <c r="E131" s="7"/>
      <c r="F131" t="s">
        <v>1855</v>
      </c>
      <c r="G131" s="7"/>
      <c r="J131" s="5"/>
      <c r="L131" s="5">
        <f t="shared" si="2"/>
        <v>0</v>
      </c>
      <c r="N131" s="5"/>
    </row>
    <row r="132" spans="1:14">
      <c r="A132" t="s">
        <v>1303</v>
      </c>
      <c r="C132" s="7"/>
      <c r="D132" t="s">
        <v>1996</v>
      </c>
      <c r="E132" s="7"/>
      <c r="F132" t="s">
        <v>1997</v>
      </c>
      <c r="G132" t="s">
        <v>1997</v>
      </c>
      <c r="J132" s="5"/>
      <c r="L132" s="5">
        <f t="shared" si="2"/>
        <v>0</v>
      </c>
      <c r="N132" s="5"/>
    </row>
    <row r="133" spans="1:14">
      <c r="A133" t="s">
        <v>2055</v>
      </c>
      <c r="C133" s="7"/>
      <c r="D133" t="s">
        <v>1552</v>
      </c>
      <c r="E133" s="7"/>
      <c r="F133" t="s">
        <v>2057</v>
      </c>
      <c r="G133" t="s">
        <v>2057</v>
      </c>
      <c r="J133" s="5"/>
      <c r="L133" s="5">
        <f t="shared" si="2"/>
        <v>0</v>
      </c>
      <c r="N133" s="5"/>
    </row>
    <row r="134" spans="1:14">
      <c r="A134" t="s">
        <v>1889</v>
      </c>
      <c r="C134" t="s">
        <v>1890</v>
      </c>
      <c r="D134" t="s">
        <v>1891</v>
      </c>
      <c r="E134" t="s">
        <v>1892</v>
      </c>
      <c r="F134" t="s">
        <v>1893</v>
      </c>
      <c r="G134" s="7"/>
      <c r="J134" s="5"/>
      <c r="L134" s="5">
        <f t="shared" si="2"/>
        <v>0</v>
      </c>
      <c r="N134" s="5"/>
    </row>
    <row r="135" spans="1:14">
      <c r="A135" t="s">
        <v>833</v>
      </c>
      <c r="C135" t="s">
        <v>1561</v>
      </c>
      <c r="D135" t="s">
        <v>1562</v>
      </c>
      <c r="E135" t="s">
        <v>1563</v>
      </c>
      <c r="F135" t="s">
        <v>1564</v>
      </c>
      <c r="G135" t="s">
        <v>1564</v>
      </c>
      <c r="J135" s="5"/>
      <c r="L135" s="5">
        <f t="shared" si="2"/>
        <v>0</v>
      </c>
      <c r="N135" s="5"/>
    </row>
    <row r="136" spans="1:14">
      <c r="A136" t="s">
        <v>1701</v>
      </c>
      <c r="C136" t="s">
        <v>1702</v>
      </c>
      <c r="D136" t="s">
        <v>1552</v>
      </c>
      <c r="E136" s="7"/>
      <c r="F136" t="s">
        <v>1703</v>
      </c>
      <c r="G136" s="7"/>
      <c r="J136" s="5"/>
      <c r="L136" s="5">
        <f t="shared" si="2"/>
        <v>0</v>
      </c>
      <c r="N136" s="5"/>
    </row>
    <row r="137" spans="1:14">
      <c r="A137" t="s">
        <v>1271</v>
      </c>
      <c r="C137" t="s">
        <v>1964</v>
      </c>
      <c r="D137" t="s">
        <v>1552</v>
      </c>
      <c r="E137" s="7"/>
      <c r="F137" t="s">
        <v>1965</v>
      </c>
      <c r="G137" t="s">
        <v>1965</v>
      </c>
      <c r="J137" s="5"/>
      <c r="L137" s="5">
        <f t="shared" si="2"/>
        <v>0</v>
      </c>
      <c r="N137" s="5"/>
    </row>
    <row r="138" spans="1:14">
      <c r="A138" t="s">
        <v>1843</v>
      </c>
      <c r="C138" s="7"/>
      <c r="D138" t="s">
        <v>1552</v>
      </c>
      <c r="E138" s="7"/>
      <c r="F138" t="s">
        <v>1847</v>
      </c>
      <c r="G138" t="s">
        <v>1847</v>
      </c>
      <c r="J138" s="5"/>
      <c r="L138" s="5">
        <f t="shared" si="2"/>
        <v>0</v>
      </c>
      <c r="N138" s="5"/>
    </row>
    <row r="139" spans="1:14">
      <c r="A139" t="s">
        <v>172</v>
      </c>
      <c r="C139" t="s">
        <v>1869</v>
      </c>
      <c r="D139" t="s">
        <v>1870</v>
      </c>
      <c r="E139" s="7"/>
      <c r="F139" t="s">
        <v>1871</v>
      </c>
      <c r="G139" t="s">
        <v>1871</v>
      </c>
      <c r="J139" s="5"/>
      <c r="L139" s="5">
        <f t="shared" si="2"/>
        <v>0</v>
      </c>
      <c r="N139" s="5"/>
    </row>
    <row r="140" spans="1:14">
      <c r="A140" t="s">
        <v>1907</v>
      </c>
      <c r="C140" s="7"/>
      <c r="D140" t="s">
        <v>1908</v>
      </c>
      <c r="E140" t="s">
        <v>1909</v>
      </c>
      <c r="F140" t="s">
        <v>1910</v>
      </c>
      <c r="G140" t="s">
        <v>1910</v>
      </c>
      <c r="J140" s="5"/>
      <c r="L140" s="5">
        <f t="shared" si="2"/>
        <v>0</v>
      </c>
      <c r="N140" s="5"/>
    </row>
    <row r="141" spans="1:14">
      <c r="A141" t="s">
        <v>2005</v>
      </c>
      <c r="C141" t="s">
        <v>2006</v>
      </c>
      <c r="D141" t="s">
        <v>2007</v>
      </c>
      <c r="E141" s="7"/>
      <c r="F141" t="s">
        <v>2008</v>
      </c>
      <c r="G141" t="s">
        <v>2008</v>
      </c>
      <c r="J141" s="5"/>
      <c r="L141" s="5">
        <f t="shared" si="2"/>
        <v>0</v>
      </c>
      <c r="N141" s="5"/>
    </row>
    <row r="142" spans="1:14">
      <c r="A142" t="s">
        <v>1872</v>
      </c>
      <c r="C142" t="s">
        <v>1873</v>
      </c>
      <c r="D142" t="s">
        <v>1576</v>
      </c>
      <c r="E142" t="s">
        <v>1874</v>
      </c>
      <c r="F142" t="s">
        <v>1875</v>
      </c>
      <c r="G142" t="s">
        <v>1875</v>
      </c>
      <c r="J142" s="5"/>
      <c r="L142" s="5">
        <f t="shared" si="2"/>
        <v>0</v>
      </c>
      <c r="N142" s="5"/>
    </row>
    <row r="143" spans="1:14">
      <c r="A143" t="s">
        <v>1278</v>
      </c>
      <c r="C143" s="7"/>
      <c r="D143" t="s">
        <v>1552</v>
      </c>
      <c r="E143" s="7"/>
      <c r="F143" t="s">
        <v>1971</v>
      </c>
      <c r="G143" t="s">
        <v>1971</v>
      </c>
      <c r="J143" s="5"/>
      <c r="L143" s="5">
        <f t="shared" si="2"/>
        <v>0</v>
      </c>
      <c r="N143" s="5"/>
    </row>
    <row r="144" spans="1:14">
      <c r="A144" t="s">
        <v>1569</v>
      </c>
      <c r="C144" s="7"/>
      <c r="D144" t="s">
        <v>1573</v>
      </c>
      <c r="E144" s="7"/>
      <c r="F144" t="s">
        <v>1575</v>
      </c>
      <c r="G144" s="7"/>
      <c r="J144" s="5"/>
      <c r="L144" s="5">
        <f t="shared" si="2"/>
        <v>0</v>
      </c>
      <c r="N144" s="5"/>
    </row>
    <row r="145" spans="1:14">
      <c r="A145" t="s">
        <v>847</v>
      </c>
      <c r="C145" s="7"/>
      <c r="D145" t="s">
        <v>1552</v>
      </c>
      <c r="E145" s="7"/>
      <c r="F145" t="s">
        <v>1581</v>
      </c>
      <c r="G145" t="s">
        <v>1581</v>
      </c>
      <c r="J145" s="5"/>
      <c r="L145" s="5">
        <f t="shared" si="2"/>
        <v>0</v>
      </c>
      <c r="N145" s="5"/>
    </row>
    <row r="146" spans="1:14">
      <c r="A146" t="s">
        <v>1587</v>
      </c>
      <c r="C146" t="s">
        <v>1588</v>
      </c>
      <c r="D146" t="s">
        <v>1589</v>
      </c>
      <c r="E146" s="7"/>
      <c r="F146" t="s">
        <v>1590</v>
      </c>
      <c r="G146" s="7"/>
      <c r="J146" s="5"/>
      <c r="L146" s="5">
        <f t="shared" si="2"/>
        <v>0</v>
      </c>
      <c r="N146" s="5"/>
    </row>
    <row r="147" spans="1:14">
      <c r="A147" t="s">
        <v>1608</v>
      </c>
      <c r="C147" t="s">
        <v>1609</v>
      </c>
      <c r="D147" t="s">
        <v>1610</v>
      </c>
      <c r="E147" s="7"/>
      <c r="F147" t="s">
        <v>1611</v>
      </c>
      <c r="G147" s="7"/>
      <c r="J147" s="5"/>
      <c r="L147" s="5">
        <f t="shared" si="2"/>
        <v>0</v>
      </c>
      <c r="N147" s="5"/>
    </row>
    <row r="148" spans="1:14">
      <c r="A148" t="s">
        <v>649</v>
      </c>
      <c r="C148" s="7"/>
      <c r="D148" t="s">
        <v>1589</v>
      </c>
      <c r="E148" s="7"/>
      <c r="F148" t="s">
        <v>1661</v>
      </c>
      <c r="G148" s="7"/>
      <c r="J148" s="5"/>
      <c r="L148" s="5">
        <f t="shared" si="2"/>
        <v>0</v>
      </c>
      <c r="N148" s="5"/>
    </row>
    <row r="149" spans="1:14">
      <c r="A149" t="s">
        <v>1683</v>
      </c>
      <c r="C149" s="7"/>
      <c r="D149" t="s">
        <v>1541</v>
      </c>
      <c r="E149" t="s">
        <v>1684</v>
      </c>
      <c r="F149" t="s">
        <v>1685</v>
      </c>
      <c r="G149" t="s">
        <v>1686</v>
      </c>
      <c r="J149" s="5"/>
      <c r="L149" s="5">
        <f t="shared" si="2"/>
        <v>0</v>
      </c>
      <c r="N149" s="5"/>
    </row>
    <row r="150" spans="1:14">
      <c r="A150" t="s">
        <v>926</v>
      </c>
      <c r="C150" s="7"/>
      <c r="D150" t="s">
        <v>1656</v>
      </c>
      <c r="E150" s="7"/>
      <c r="F150" t="s">
        <v>1687</v>
      </c>
      <c r="G150" t="s">
        <v>1687</v>
      </c>
      <c r="J150" s="5"/>
      <c r="L150" s="5">
        <f t="shared" si="2"/>
        <v>0</v>
      </c>
      <c r="N150" s="5"/>
    </row>
    <row r="151" spans="1:14">
      <c r="A151" t="s">
        <v>1699</v>
      </c>
      <c r="C151" s="7"/>
      <c r="D151" t="s">
        <v>1589</v>
      </c>
      <c r="E151" s="7"/>
      <c r="F151" t="s">
        <v>1700</v>
      </c>
      <c r="G151" s="7"/>
      <c r="J151" s="5"/>
      <c r="L151" s="5">
        <f t="shared" si="2"/>
        <v>0</v>
      </c>
      <c r="N151" s="5"/>
    </row>
    <row r="152" spans="1:14">
      <c r="A152" t="s">
        <v>1714</v>
      </c>
      <c r="C152" s="7"/>
      <c r="D152" t="s">
        <v>1715</v>
      </c>
      <c r="E152" t="s">
        <v>1716</v>
      </c>
      <c r="F152" s="7"/>
      <c r="G152" s="7"/>
      <c r="J152" s="5"/>
      <c r="L152" s="5">
        <f t="shared" si="2"/>
        <v>0</v>
      </c>
      <c r="N152" s="5"/>
    </row>
    <row r="153" spans="1:14">
      <c r="A153" t="s">
        <v>1717</v>
      </c>
      <c r="C153" s="7"/>
      <c r="D153" s="7"/>
      <c r="E153" t="s">
        <v>1718</v>
      </c>
      <c r="F153" t="s">
        <v>1719</v>
      </c>
      <c r="G153" t="s">
        <v>1719</v>
      </c>
      <c r="J153" s="5"/>
      <c r="L153" s="5">
        <f t="shared" si="2"/>
        <v>0</v>
      </c>
      <c r="N153" s="5"/>
    </row>
    <row r="154" spans="1:14">
      <c r="A154" t="s">
        <v>1723</v>
      </c>
      <c r="C154" s="7"/>
      <c r="D154" t="s">
        <v>1724</v>
      </c>
      <c r="E154" s="7"/>
      <c r="F154" t="s">
        <v>1725</v>
      </c>
      <c r="G154" s="7"/>
      <c r="J154" s="5"/>
      <c r="L154" s="5">
        <f t="shared" si="2"/>
        <v>0</v>
      </c>
      <c r="N154" s="5"/>
    </row>
    <row r="155" spans="1:14">
      <c r="A155" t="s">
        <v>1726</v>
      </c>
      <c r="C155" s="7"/>
      <c r="D155" t="s">
        <v>1656</v>
      </c>
      <c r="E155" s="7"/>
      <c r="F155" t="s">
        <v>1727</v>
      </c>
      <c r="G155" s="7"/>
      <c r="J155" s="5"/>
      <c r="L155" s="5">
        <f t="shared" si="2"/>
        <v>0</v>
      </c>
      <c r="N155" s="5"/>
    </row>
    <row r="156" spans="1:14">
      <c r="A156" t="s">
        <v>1728</v>
      </c>
      <c r="C156" t="s">
        <v>1729</v>
      </c>
      <c r="D156" t="s">
        <v>1730</v>
      </c>
      <c r="E156" s="7"/>
      <c r="F156" t="s">
        <v>1731</v>
      </c>
      <c r="G156" t="s">
        <v>1731</v>
      </c>
      <c r="J156" s="5"/>
      <c r="L156" s="5">
        <f t="shared" si="2"/>
        <v>0</v>
      </c>
      <c r="N156" s="5"/>
    </row>
    <row r="157" spans="1:14">
      <c r="A157" t="s">
        <v>1737</v>
      </c>
      <c r="C157" s="7"/>
      <c r="D157" t="s">
        <v>1656</v>
      </c>
      <c r="E157" s="7"/>
      <c r="F157" t="s">
        <v>1738</v>
      </c>
      <c r="G157" t="s">
        <v>1738</v>
      </c>
      <c r="J157" s="5"/>
      <c r="L157" s="5">
        <f t="shared" si="2"/>
        <v>0</v>
      </c>
      <c r="N157" s="5"/>
    </row>
    <row r="158" spans="1:14">
      <c r="A158" t="s">
        <v>1739</v>
      </c>
      <c r="C158" s="7"/>
      <c r="D158" t="s">
        <v>1656</v>
      </c>
      <c r="E158" s="7"/>
      <c r="F158" t="s">
        <v>1738</v>
      </c>
      <c r="G158" t="s">
        <v>1738</v>
      </c>
      <c r="J158" s="5"/>
      <c r="L158" s="5">
        <f t="shared" si="2"/>
        <v>0</v>
      </c>
      <c r="N158" s="5"/>
    </row>
    <row r="159" spans="1:14">
      <c r="A159" t="s">
        <v>1741</v>
      </c>
      <c r="C159" s="7"/>
      <c r="D159" s="7"/>
      <c r="E159" s="7"/>
      <c r="F159" s="7"/>
      <c r="G159" s="7"/>
      <c r="J159" s="5"/>
      <c r="L159" s="5">
        <f t="shared" si="2"/>
        <v>0</v>
      </c>
      <c r="N159" s="5"/>
    </row>
    <row r="160" spans="1:14">
      <c r="A160" t="s">
        <v>1745</v>
      </c>
      <c r="C160" s="7"/>
      <c r="D160" s="7"/>
      <c r="E160" s="7"/>
      <c r="F160" t="s">
        <v>1746</v>
      </c>
      <c r="G160" t="s">
        <v>1746</v>
      </c>
      <c r="J160" s="5"/>
      <c r="L160" s="5">
        <f t="shared" si="2"/>
        <v>0</v>
      </c>
      <c r="N160" s="5"/>
    </row>
    <row r="161" spans="1:14">
      <c r="A161" t="s">
        <v>1752</v>
      </c>
      <c r="C161" s="7"/>
      <c r="D161" t="s">
        <v>1589</v>
      </c>
      <c r="E161" s="7"/>
      <c r="F161" t="s">
        <v>1753</v>
      </c>
      <c r="G161" s="7"/>
      <c r="J161" s="5"/>
      <c r="L161" s="5">
        <f t="shared" si="2"/>
        <v>0</v>
      </c>
      <c r="N161" s="5"/>
    </row>
    <row r="162" spans="1:14">
      <c r="A162" t="s">
        <v>1754</v>
      </c>
      <c r="C162" s="7"/>
      <c r="D162" t="s">
        <v>1656</v>
      </c>
      <c r="E162" t="s">
        <v>1754</v>
      </c>
      <c r="F162" t="s">
        <v>1755</v>
      </c>
      <c r="G162" s="7"/>
      <c r="J162" s="5"/>
      <c r="L162" s="5">
        <f t="shared" si="2"/>
        <v>0</v>
      </c>
      <c r="N162" s="5"/>
    </row>
    <row r="163" spans="1:14">
      <c r="A163" t="s">
        <v>1759</v>
      </c>
      <c r="C163" s="7"/>
      <c r="D163" t="s">
        <v>1656</v>
      </c>
      <c r="E163" s="7"/>
      <c r="F163" t="s">
        <v>1760</v>
      </c>
      <c r="G163" t="s">
        <v>1760</v>
      </c>
      <c r="J163" s="5"/>
      <c r="L163" s="5">
        <f t="shared" si="2"/>
        <v>0</v>
      </c>
      <c r="N163" s="5"/>
    </row>
    <row r="164" spans="1:14">
      <c r="A164" t="s">
        <v>1766</v>
      </c>
      <c r="C164" s="7"/>
      <c r="D164" t="s">
        <v>1589</v>
      </c>
      <c r="E164" t="s">
        <v>1766</v>
      </c>
      <c r="F164" t="s">
        <v>1767</v>
      </c>
      <c r="G164" t="s">
        <v>1767</v>
      </c>
      <c r="J164" s="5"/>
      <c r="L164" s="5">
        <f t="shared" si="2"/>
        <v>0</v>
      </c>
      <c r="N164" s="5"/>
    </row>
    <row r="165" spans="1:14">
      <c r="A165" t="s">
        <v>1771</v>
      </c>
      <c r="C165" s="7"/>
      <c r="D165" t="s">
        <v>1541</v>
      </c>
      <c r="E165" t="s">
        <v>1596</v>
      </c>
      <c r="F165" t="s">
        <v>1772</v>
      </c>
      <c r="G165" s="7"/>
      <c r="J165" s="5"/>
      <c r="L165" s="5">
        <f t="shared" si="2"/>
        <v>0</v>
      </c>
      <c r="N165" s="5"/>
    </row>
    <row r="166" spans="1:14">
      <c r="A166" t="s">
        <v>1783</v>
      </c>
      <c r="C166" s="7"/>
      <c r="D166" t="s">
        <v>1656</v>
      </c>
      <c r="E166" t="s">
        <v>1596</v>
      </c>
      <c r="F166" t="s">
        <v>1784</v>
      </c>
      <c r="G166" s="7"/>
      <c r="J166" s="5"/>
      <c r="L166" s="5">
        <f t="shared" si="2"/>
        <v>0</v>
      </c>
      <c r="N166" s="5"/>
    </row>
    <row r="167" spans="1:14">
      <c r="A167" t="s">
        <v>1058</v>
      </c>
      <c r="C167" s="7"/>
      <c r="D167" t="s">
        <v>1807</v>
      </c>
      <c r="E167" t="s">
        <v>1808</v>
      </c>
      <c r="F167" t="s">
        <v>1809</v>
      </c>
      <c r="G167" t="s">
        <v>1809</v>
      </c>
      <c r="J167" s="5"/>
      <c r="L167" s="5">
        <f t="shared" si="2"/>
        <v>0</v>
      </c>
      <c r="N167" s="5"/>
    </row>
    <row r="168" spans="1:14">
      <c r="A168" t="s">
        <v>1064</v>
      </c>
      <c r="C168" s="7"/>
      <c r="D168" t="s">
        <v>1816</v>
      </c>
      <c r="E168" s="7"/>
      <c r="F168" s="7"/>
      <c r="G168" s="7"/>
      <c r="J168" s="5"/>
      <c r="L168" s="5">
        <f t="shared" si="2"/>
        <v>0</v>
      </c>
      <c r="N168" s="5"/>
    </row>
    <row r="169" spans="1:14">
      <c r="A169" t="s">
        <v>1822</v>
      </c>
      <c r="C169" s="7"/>
      <c r="D169" t="s">
        <v>1541</v>
      </c>
      <c r="E169" s="7"/>
      <c r="F169" t="s">
        <v>1823</v>
      </c>
      <c r="G169" s="7"/>
      <c r="J169" s="5"/>
      <c r="L169" s="5">
        <f t="shared" si="2"/>
        <v>0</v>
      </c>
      <c r="N169" s="5"/>
    </row>
    <row r="170" spans="1:14">
      <c r="A170" t="s">
        <v>1827</v>
      </c>
      <c r="C170" s="7"/>
      <c r="D170" t="s">
        <v>1663</v>
      </c>
      <c r="E170" t="s">
        <v>1828</v>
      </c>
      <c r="F170" t="s">
        <v>1829</v>
      </c>
      <c r="G170" t="s">
        <v>1829</v>
      </c>
      <c r="J170" s="5"/>
      <c r="L170" s="5">
        <f t="shared" si="2"/>
        <v>0</v>
      </c>
      <c r="N170" s="5"/>
    </row>
    <row r="171" spans="1:14">
      <c r="A171" t="s">
        <v>1830</v>
      </c>
      <c r="C171" s="7"/>
      <c r="D171" t="s">
        <v>1541</v>
      </c>
      <c r="E171" t="s">
        <v>1596</v>
      </c>
      <c r="F171" t="s">
        <v>1831</v>
      </c>
      <c r="G171" s="7"/>
      <c r="J171" s="5"/>
      <c r="L171" s="5">
        <f t="shared" si="2"/>
        <v>0</v>
      </c>
      <c r="N171" s="5"/>
    </row>
    <row r="172" spans="1:14">
      <c r="A172" t="s">
        <v>1834</v>
      </c>
      <c r="C172" s="7"/>
      <c r="D172" s="7"/>
      <c r="E172" s="7"/>
      <c r="F172" s="7"/>
      <c r="G172" s="7"/>
      <c r="J172" s="5"/>
      <c r="L172" s="5">
        <f t="shared" si="2"/>
        <v>0</v>
      </c>
      <c r="N172" s="5"/>
    </row>
    <row r="173" spans="1:14">
      <c r="A173" t="s">
        <v>1839</v>
      </c>
      <c r="C173" s="7"/>
      <c r="D173" t="s">
        <v>1656</v>
      </c>
      <c r="E173" s="7"/>
      <c r="F173" t="s">
        <v>1840</v>
      </c>
      <c r="G173" t="s">
        <v>1840</v>
      </c>
      <c r="J173" s="5"/>
      <c r="L173" s="5">
        <f t="shared" si="2"/>
        <v>0</v>
      </c>
      <c r="N173" s="5"/>
    </row>
    <row r="174" spans="1:14">
      <c r="A174" t="s">
        <v>156</v>
      </c>
      <c r="C174" s="7"/>
      <c r="D174" t="s">
        <v>1841</v>
      </c>
      <c r="E174" s="7"/>
      <c r="F174" t="s">
        <v>1842</v>
      </c>
      <c r="G174" t="s">
        <v>1842</v>
      </c>
      <c r="J174" s="5"/>
      <c r="L174" s="5">
        <f t="shared" si="2"/>
        <v>0</v>
      </c>
      <c r="N174" s="5"/>
    </row>
    <row r="175" spans="1:14">
      <c r="A175" t="s">
        <v>1105</v>
      </c>
      <c r="C175" s="7"/>
      <c r="D175" s="7"/>
      <c r="E175" s="7"/>
      <c r="F175" s="7"/>
      <c r="G175" s="7"/>
      <c r="J175" s="5"/>
      <c r="L175" s="5">
        <f t="shared" si="2"/>
        <v>0</v>
      </c>
      <c r="N175" s="5"/>
    </row>
    <row r="176" spans="1:14">
      <c r="A176" t="s">
        <v>1876</v>
      </c>
      <c r="C176" s="7"/>
      <c r="D176" t="s">
        <v>1541</v>
      </c>
      <c r="E176" t="s">
        <v>1596</v>
      </c>
      <c r="F176" t="s">
        <v>1877</v>
      </c>
      <c r="G176" s="7"/>
      <c r="J176" s="5"/>
      <c r="L176" s="5">
        <f t="shared" si="2"/>
        <v>0</v>
      </c>
      <c r="N176" s="5"/>
    </row>
    <row r="177" spans="1:14">
      <c r="A177" t="s">
        <v>1880</v>
      </c>
      <c r="C177" s="7"/>
      <c r="D177" t="s">
        <v>1656</v>
      </c>
      <c r="E177" s="7"/>
      <c r="F177" t="s">
        <v>1881</v>
      </c>
      <c r="G177" s="7"/>
      <c r="J177" s="5"/>
      <c r="L177" s="5">
        <f t="shared" si="2"/>
        <v>0</v>
      </c>
      <c r="N177" s="5"/>
    </row>
    <row r="178" spans="1:14">
      <c r="A178" t="s">
        <v>1894</v>
      </c>
      <c r="C178" s="7"/>
      <c r="D178" s="7"/>
      <c r="E178" s="7"/>
      <c r="F178" s="7"/>
      <c r="G178" s="7"/>
      <c r="J178" s="5"/>
      <c r="L178" s="5">
        <f t="shared" si="2"/>
        <v>0</v>
      </c>
      <c r="N178" s="5"/>
    </row>
    <row r="179" spans="1:14">
      <c r="A179" t="s">
        <v>1895</v>
      </c>
      <c r="C179" s="7"/>
      <c r="D179" t="s">
        <v>1896</v>
      </c>
      <c r="E179" t="s">
        <v>1897</v>
      </c>
      <c r="F179" s="7"/>
      <c r="G179" s="7"/>
      <c r="J179" s="5"/>
      <c r="L179" s="5">
        <f t="shared" si="2"/>
        <v>0</v>
      </c>
      <c r="N179" s="5"/>
    </row>
    <row r="180" spans="1:14">
      <c r="A180" t="s">
        <v>1898</v>
      </c>
      <c r="C180" s="7"/>
      <c r="D180" t="s">
        <v>1899</v>
      </c>
      <c r="E180" t="s">
        <v>1900</v>
      </c>
      <c r="F180" s="7"/>
      <c r="G180" s="7"/>
      <c r="J180" s="5"/>
      <c r="L180" s="5">
        <f t="shared" si="2"/>
        <v>0</v>
      </c>
      <c r="N180" s="5"/>
    </row>
    <row r="181" spans="1:14">
      <c r="A181" t="s">
        <v>1901</v>
      </c>
      <c r="C181" s="7"/>
      <c r="D181" t="s">
        <v>1902</v>
      </c>
      <c r="E181" t="s">
        <v>1903</v>
      </c>
      <c r="F181" s="7"/>
      <c r="G181" s="7"/>
      <c r="J181" s="5"/>
      <c r="L181" s="5">
        <f t="shared" si="2"/>
        <v>0</v>
      </c>
      <c r="N181" s="5"/>
    </row>
    <row r="182" spans="1:14">
      <c r="A182" t="s">
        <v>1904</v>
      </c>
      <c r="C182" s="7"/>
      <c r="D182" t="s">
        <v>1905</v>
      </c>
      <c r="E182" t="s">
        <v>1906</v>
      </c>
      <c r="F182" s="7"/>
      <c r="G182" s="7"/>
      <c r="J182" s="5"/>
      <c r="L182" s="5">
        <f t="shared" si="2"/>
        <v>0</v>
      </c>
      <c r="N182" s="5"/>
    </row>
    <row r="183" spans="1:14">
      <c r="A183" t="s">
        <v>1911</v>
      </c>
      <c r="C183" s="7"/>
      <c r="D183" t="s">
        <v>1912</v>
      </c>
      <c r="E183" t="s">
        <v>1913</v>
      </c>
      <c r="F183" s="7"/>
      <c r="G183" s="7"/>
      <c r="J183" s="5"/>
      <c r="L183" s="5">
        <f t="shared" si="2"/>
        <v>0</v>
      </c>
      <c r="N183" s="5"/>
    </row>
    <row r="184" spans="1:14">
      <c r="A184" t="s">
        <v>1914</v>
      </c>
      <c r="C184" s="7"/>
      <c r="D184" s="7"/>
      <c r="E184" s="7"/>
      <c r="F184" s="7"/>
      <c r="G184" s="7"/>
      <c r="J184" s="5"/>
      <c r="L184" s="5">
        <f t="shared" si="2"/>
        <v>0</v>
      </c>
      <c r="N184" s="5"/>
    </row>
    <row r="185" spans="1:14">
      <c r="A185" t="s">
        <v>1915</v>
      </c>
      <c r="C185" s="7"/>
      <c r="D185" t="s">
        <v>1916</v>
      </c>
      <c r="E185" t="s">
        <v>1917</v>
      </c>
      <c r="F185" s="7"/>
      <c r="G185" s="7"/>
      <c r="J185" s="5"/>
      <c r="L185" s="5">
        <f t="shared" si="2"/>
        <v>0</v>
      </c>
      <c r="N185" s="5"/>
    </row>
    <row r="186" spans="1:14">
      <c r="A186" t="s">
        <v>1918</v>
      </c>
      <c r="C186" s="7"/>
      <c r="D186" t="s">
        <v>1656</v>
      </c>
      <c r="E186" t="s">
        <v>1918</v>
      </c>
      <c r="F186" t="s">
        <v>1919</v>
      </c>
      <c r="G186" s="7"/>
      <c r="J186" s="5"/>
      <c r="L186" s="5">
        <f t="shared" si="2"/>
        <v>0</v>
      </c>
      <c r="N186" s="5"/>
    </row>
    <row r="187" spans="1:14">
      <c r="A187" t="s">
        <v>1924</v>
      </c>
      <c r="C187" s="7"/>
      <c r="D187" t="s">
        <v>1552</v>
      </c>
      <c r="E187" s="7"/>
      <c r="F187" s="7"/>
      <c r="G187" s="7"/>
      <c r="J187" s="5"/>
      <c r="L187" s="5">
        <f t="shared" si="2"/>
        <v>0</v>
      </c>
      <c r="N187" s="5"/>
    </row>
    <row r="188" spans="1:14">
      <c r="A188" t="s">
        <v>1931</v>
      </c>
      <c r="C188" s="7"/>
      <c r="D188" t="s">
        <v>1541</v>
      </c>
      <c r="E188" t="s">
        <v>1596</v>
      </c>
      <c r="F188" s="7"/>
      <c r="G188" s="7"/>
      <c r="J188" s="5"/>
      <c r="L188" s="5">
        <f t="shared" si="2"/>
        <v>0</v>
      </c>
      <c r="N188" s="5"/>
    </row>
    <row r="189" spans="1:14">
      <c r="A189" t="s">
        <v>1942</v>
      </c>
      <c r="C189" s="7"/>
      <c r="D189" t="s">
        <v>1656</v>
      </c>
      <c r="E189" t="s">
        <v>1943</v>
      </c>
      <c r="F189" t="s">
        <v>1944</v>
      </c>
      <c r="G189" s="7"/>
      <c r="J189" s="5"/>
      <c r="L189" s="5">
        <f t="shared" si="2"/>
        <v>0</v>
      </c>
      <c r="N189" s="5"/>
    </row>
    <row r="190" spans="1:14">
      <c r="A190" t="s">
        <v>1949</v>
      </c>
      <c r="C190" s="7"/>
      <c r="D190" t="s">
        <v>1950</v>
      </c>
      <c r="E190" s="7"/>
      <c r="F190" t="s">
        <v>1951</v>
      </c>
      <c r="G190" s="7"/>
      <c r="J190" s="5"/>
      <c r="L190" s="5">
        <f t="shared" si="2"/>
        <v>0</v>
      </c>
      <c r="N190" s="5"/>
    </row>
    <row r="191" spans="1:14">
      <c r="A191" t="s">
        <v>1957</v>
      </c>
      <c r="C191" s="7"/>
      <c r="D191" s="7"/>
      <c r="E191" s="7"/>
      <c r="F191" s="7"/>
      <c r="G191" s="7"/>
      <c r="J191" s="5"/>
      <c r="L191" s="5">
        <f t="shared" si="2"/>
        <v>0</v>
      </c>
      <c r="N191" s="5"/>
    </row>
    <row r="192" spans="1:14">
      <c r="A192" t="s">
        <v>1958</v>
      </c>
      <c r="C192" s="7"/>
      <c r="D192" t="s">
        <v>1656</v>
      </c>
      <c r="E192" t="s">
        <v>1596</v>
      </c>
      <c r="F192" t="s">
        <v>1959</v>
      </c>
      <c r="G192" s="7"/>
      <c r="J192" s="5"/>
      <c r="L192" s="5">
        <f t="shared" si="2"/>
        <v>0</v>
      </c>
      <c r="N192" s="5"/>
    </row>
    <row r="193" spans="1:14">
      <c r="A193" t="s">
        <v>1222</v>
      </c>
      <c r="C193" s="7"/>
      <c r="D193" t="s">
        <v>1552</v>
      </c>
      <c r="E193" s="7"/>
      <c r="F193" s="7"/>
      <c r="G193" s="7"/>
      <c r="J193" s="5"/>
      <c r="L193" s="5">
        <f t="shared" si="2"/>
        <v>0</v>
      </c>
      <c r="N193" s="5"/>
    </row>
    <row r="194" spans="1:14">
      <c r="A194" t="s">
        <v>1275</v>
      </c>
      <c r="C194" t="s">
        <v>1968</v>
      </c>
      <c r="D194" t="s">
        <v>1969</v>
      </c>
      <c r="E194" s="7"/>
      <c r="F194" t="s">
        <v>1970</v>
      </c>
      <c r="G194" t="s">
        <v>1970</v>
      </c>
      <c r="J194" s="5"/>
      <c r="L194" s="5">
        <f t="shared" ref="L194:L257" si="3">IFERROR(EDATE(J194,K194),"-")</f>
        <v>0</v>
      </c>
      <c r="N194" s="5"/>
    </row>
    <row r="195" spans="1:14">
      <c r="A195" t="s">
        <v>1289</v>
      </c>
      <c r="C195" s="7"/>
      <c r="D195" s="7"/>
      <c r="E195" s="7"/>
      <c r="F195" s="7"/>
      <c r="G195" s="7"/>
      <c r="J195" s="5"/>
      <c r="L195" s="5">
        <f t="shared" si="3"/>
        <v>0</v>
      </c>
      <c r="N195" s="5"/>
    </row>
    <row r="196" spans="1:14">
      <c r="A196" t="s">
        <v>1992</v>
      </c>
      <c r="C196" s="7"/>
      <c r="D196" t="s">
        <v>1541</v>
      </c>
      <c r="E196" t="s">
        <v>1596</v>
      </c>
      <c r="F196" t="s">
        <v>1993</v>
      </c>
      <c r="G196" s="7"/>
      <c r="J196" s="5"/>
      <c r="L196" s="5">
        <f t="shared" si="3"/>
        <v>0</v>
      </c>
      <c r="N196" s="5"/>
    </row>
    <row r="197" spans="1:14">
      <c r="A197" t="s">
        <v>1998</v>
      </c>
      <c r="C197" s="7"/>
      <c r="D197" t="s">
        <v>1656</v>
      </c>
      <c r="E197" t="s">
        <v>1998</v>
      </c>
      <c r="F197" t="s">
        <v>1999</v>
      </c>
      <c r="G197" s="7"/>
      <c r="J197" s="5"/>
      <c r="L197" s="5">
        <f t="shared" si="3"/>
        <v>0</v>
      </c>
      <c r="N197" s="5"/>
    </row>
    <row r="198" spans="1:14">
      <c r="A198" t="s">
        <v>2000</v>
      </c>
      <c r="C198" s="7"/>
      <c r="D198" s="7"/>
      <c r="E198" s="7"/>
      <c r="F198" t="s">
        <v>2001</v>
      </c>
      <c r="G198" s="7"/>
      <c r="J198" s="5"/>
      <c r="L198" s="5">
        <f t="shared" si="3"/>
        <v>0</v>
      </c>
      <c r="N198" s="5"/>
    </row>
    <row r="199" spans="1:14">
      <c r="A199" t="s">
        <v>1329</v>
      </c>
      <c r="C199" s="7"/>
      <c r="D199" t="s">
        <v>1552</v>
      </c>
      <c r="E199" s="7"/>
      <c r="F199" t="s">
        <v>2025</v>
      </c>
      <c r="G199" s="7"/>
      <c r="J199" s="5"/>
      <c r="L199" s="5">
        <f t="shared" si="3"/>
        <v>0</v>
      </c>
      <c r="N199" s="5"/>
    </row>
    <row r="200" spans="1:14">
      <c r="A200" t="s">
        <v>2026</v>
      </c>
      <c r="C200" s="7"/>
      <c r="D200" t="s">
        <v>1656</v>
      </c>
      <c r="E200" t="s">
        <v>553</v>
      </c>
      <c r="F200" t="s">
        <v>2027</v>
      </c>
      <c r="G200" s="7"/>
      <c r="J200" s="5"/>
      <c r="L200" s="5">
        <f t="shared" si="3"/>
        <v>0</v>
      </c>
      <c r="N200" s="5"/>
    </row>
    <row r="201" spans="1:14">
      <c r="A201" t="s">
        <v>2041</v>
      </c>
      <c r="C201" s="7"/>
      <c r="D201" t="s">
        <v>2042</v>
      </c>
      <c r="E201" s="7"/>
      <c r="F201" t="s">
        <v>2043</v>
      </c>
      <c r="G201" t="s">
        <v>2043</v>
      </c>
      <c r="J201" s="5"/>
      <c r="L201" s="5">
        <f t="shared" si="3"/>
        <v>0</v>
      </c>
      <c r="N201" s="5"/>
    </row>
    <row r="202" spans="1:14">
      <c r="A202" t="s">
        <v>2046</v>
      </c>
      <c r="C202" s="7"/>
      <c r="D202" t="s">
        <v>2047</v>
      </c>
      <c r="E202" s="7"/>
      <c r="F202" t="s">
        <v>2048</v>
      </c>
      <c r="G202" t="s">
        <v>2048</v>
      </c>
      <c r="J202" s="5"/>
      <c r="L202" s="5">
        <f t="shared" si="3"/>
        <v>0</v>
      </c>
      <c r="N202" s="5"/>
    </row>
    <row r="203" spans="1:14">
      <c r="A203" t="s">
        <v>2054</v>
      </c>
      <c r="C203" s="7"/>
      <c r="D203" s="7"/>
      <c r="E203" s="7"/>
      <c r="F203" s="7"/>
      <c r="G203" s="7"/>
      <c r="J203" s="5"/>
      <c r="L203" s="5">
        <f t="shared" si="3"/>
        <v>0</v>
      </c>
      <c r="N203" s="5"/>
    </row>
    <row r="204" spans="1:14">
      <c r="A204" t="s">
        <v>2067</v>
      </c>
      <c r="C204" s="7"/>
      <c r="D204" s="7"/>
      <c r="E204" s="7"/>
      <c r="F204" s="7"/>
      <c r="G204" s="7"/>
      <c r="J204" s="5"/>
      <c r="L204" s="5">
        <f t="shared" si="3"/>
        <v>0</v>
      </c>
      <c r="N204" s="5"/>
    </row>
    <row r="205" spans="1:14">
      <c r="A205" t="s">
        <v>2073</v>
      </c>
      <c r="C205" s="7"/>
      <c r="D205" t="s">
        <v>1663</v>
      </c>
      <c r="E205" t="s">
        <v>2069</v>
      </c>
      <c r="F205" t="s">
        <v>2074</v>
      </c>
      <c r="G205" s="7"/>
      <c r="J205" s="5"/>
      <c r="L205" s="5">
        <f t="shared" si="3"/>
        <v>0</v>
      </c>
      <c r="N205" s="5"/>
    </row>
    <row r="206" spans="1:14">
      <c r="A206" t="s">
        <v>2075</v>
      </c>
      <c r="C206" s="7"/>
      <c r="D206" t="s">
        <v>1663</v>
      </c>
      <c r="E206" t="s">
        <v>2069</v>
      </c>
      <c r="F206" t="s">
        <v>2076</v>
      </c>
      <c r="G206" s="7"/>
      <c r="J206" s="5"/>
      <c r="L206" s="5">
        <f t="shared" si="3"/>
        <v>0</v>
      </c>
      <c r="N206" s="5"/>
    </row>
    <row r="207" spans="1:14">
      <c r="A207" t="s">
        <v>2079</v>
      </c>
      <c r="C207" s="7"/>
      <c r="D207" t="s">
        <v>1663</v>
      </c>
      <c r="E207" t="s">
        <v>2069</v>
      </c>
      <c r="F207" t="s">
        <v>2080</v>
      </c>
      <c r="G207" s="7"/>
      <c r="J207" s="5"/>
      <c r="L207" s="5">
        <f t="shared" si="3"/>
        <v>0</v>
      </c>
      <c r="N207" s="5"/>
    </row>
    <row r="208" spans="1:14">
      <c r="A208" t="s">
        <v>2081</v>
      </c>
      <c r="C208" s="7"/>
      <c r="D208" t="s">
        <v>1663</v>
      </c>
      <c r="E208" t="s">
        <v>2069</v>
      </c>
      <c r="F208" t="s">
        <v>2082</v>
      </c>
      <c r="G208" t="s">
        <v>2082</v>
      </c>
      <c r="J208" s="5"/>
      <c r="L208" s="5">
        <f t="shared" si="3"/>
        <v>0</v>
      </c>
      <c r="N208" s="5"/>
    </row>
    <row r="209" spans="1:14">
      <c r="A209" t="s">
        <v>2085</v>
      </c>
      <c r="C209" s="7"/>
      <c r="D209" s="7"/>
      <c r="E209" t="s">
        <v>2069</v>
      </c>
      <c r="F209" t="s">
        <v>2086</v>
      </c>
      <c r="G209" s="7"/>
      <c r="J209" s="5"/>
      <c r="L209" s="5">
        <f t="shared" si="3"/>
        <v>0</v>
      </c>
      <c r="N209" s="5"/>
    </row>
    <row r="210" spans="1:14">
      <c r="A210" t="s">
        <v>2091</v>
      </c>
      <c r="C210" s="7"/>
      <c r="D210" t="s">
        <v>1663</v>
      </c>
      <c r="E210" t="s">
        <v>2069</v>
      </c>
      <c r="F210" t="s">
        <v>2092</v>
      </c>
      <c r="G210" s="7"/>
      <c r="J210" s="5"/>
      <c r="L210" s="5">
        <f t="shared" si="3"/>
        <v>0</v>
      </c>
      <c r="N210" s="5"/>
    </row>
    <row r="211" spans="1:14">
      <c r="A211" t="s">
        <v>2093</v>
      </c>
      <c r="C211" s="7"/>
      <c r="D211" t="s">
        <v>1663</v>
      </c>
      <c r="E211" t="s">
        <v>2069</v>
      </c>
      <c r="F211" t="s">
        <v>2094</v>
      </c>
      <c r="G211" t="s">
        <v>2094</v>
      </c>
      <c r="J211" s="5"/>
      <c r="L211" s="5">
        <f t="shared" si="3"/>
        <v>0</v>
      </c>
      <c r="N211" s="5"/>
    </row>
    <row r="212" spans="1:14">
      <c r="A212" t="s">
        <v>2095</v>
      </c>
      <c r="C212" s="7"/>
      <c r="D212" t="s">
        <v>1663</v>
      </c>
      <c r="E212" t="s">
        <v>2069</v>
      </c>
      <c r="F212" t="s">
        <v>2096</v>
      </c>
      <c r="G212" s="7"/>
      <c r="J212" s="5"/>
      <c r="L212" s="5">
        <f t="shared" si="3"/>
        <v>0</v>
      </c>
      <c r="N212" s="5"/>
    </row>
    <row r="213" spans="1:14">
      <c r="A213" t="s">
        <v>2097</v>
      </c>
      <c r="C213" s="7"/>
      <c r="D213" t="s">
        <v>1663</v>
      </c>
      <c r="E213" t="s">
        <v>2069</v>
      </c>
      <c r="F213" t="s">
        <v>2098</v>
      </c>
      <c r="G213" t="s">
        <v>2098</v>
      </c>
      <c r="J213" s="5"/>
      <c r="L213" s="5">
        <f t="shared" si="3"/>
        <v>0</v>
      </c>
      <c r="N213" s="5"/>
    </row>
    <row r="214" spans="1:14">
      <c r="A214" t="s">
        <v>2099</v>
      </c>
      <c r="C214" s="7"/>
      <c r="D214" t="s">
        <v>1663</v>
      </c>
      <c r="E214" t="s">
        <v>2069</v>
      </c>
      <c r="F214" t="s">
        <v>2100</v>
      </c>
      <c r="G214" t="s">
        <v>2100</v>
      </c>
      <c r="J214" s="5"/>
      <c r="L214" s="5">
        <f t="shared" si="3"/>
        <v>0</v>
      </c>
      <c r="N214" s="5"/>
    </row>
    <row r="215" spans="1:14">
      <c r="A215" t="s">
        <v>2101</v>
      </c>
      <c r="C215" s="7"/>
      <c r="D215" t="s">
        <v>1663</v>
      </c>
      <c r="E215" t="s">
        <v>2069</v>
      </c>
      <c r="F215" t="s">
        <v>2102</v>
      </c>
      <c r="G215" t="s">
        <v>2102</v>
      </c>
      <c r="J215" s="5"/>
      <c r="L215" s="5">
        <f t="shared" si="3"/>
        <v>0</v>
      </c>
      <c r="N215" s="5"/>
    </row>
    <row r="216" spans="1:14">
      <c r="A216" t="s">
        <v>2103</v>
      </c>
      <c r="C216" s="7"/>
      <c r="D216" t="s">
        <v>1663</v>
      </c>
      <c r="E216" t="s">
        <v>2069</v>
      </c>
      <c r="F216" t="s">
        <v>2104</v>
      </c>
      <c r="G216" t="s">
        <v>2104</v>
      </c>
      <c r="J216" s="5"/>
      <c r="L216" s="5">
        <f t="shared" si="3"/>
        <v>0</v>
      </c>
      <c r="N216" s="5"/>
    </row>
    <row r="217" spans="1:14">
      <c r="A217" t="s">
        <v>2105</v>
      </c>
      <c r="C217" s="7"/>
      <c r="D217" t="s">
        <v>1663</v>
      </c>
      <c r="E217" t="s">
        <v>2069</v>
      </c>
      <c r="F217" t="s">
        <v>2106</v>
      </c>
      <c r="G217" t="s">
        <v>2106</v>
      </c>
      <c r="J217" s="5"/>
      <c r="L217" s="5">
        <f t="shared" si="3"/>
        <v>0</v>
      </c>
      <c r="N217" s="5"/>
    </row>
    <row r="218" spans="1:14">
      <c r="A218" t="s">
        <v>2107</v>
      </c>
      <c r="C218" s="7"/>
      <c r="D218" s="7"/>
      <c r="E218" t="s">
        <v>2069</v>
      </c>
      <c r="F218" t="s">
        <v>2108</v>
      </c>
      <c r="G218" t="s">
        <v>2108</v>
      </c>
      <c r="J218" s="5"/>
      <c r="L218" s="5">
        <f t="shared" si="3"/>
        <v>0</v>
      </c>
      <c r="N218" s="5"/>
    </row>
    <row r="219" spans="1:14">
      <c r="A219" t="s">
        <v>2109</v>
      </c>
      <c r="C219" s="7"/>
      <c r="D219" t="s">
        <v>1663</v>
      </c>
      <c r="E219" t="s">
        <v>2069</v>
      </c>
      <c r="F219" t="s">
        <v>2110</v>
      </c>
      <c r="G219" t="s">
        <v>2110</v>
      </c>
      <c r="J219" s="5"/>
      <c r="L219" s="5">
        <f t="shared" si="3"/>
        <v>0</v>
      </c>
      <c r="N219" s="5"/>
    </row>
    <row r="220" spans="1:14">
      <c r="A220" t="s">
        <v>2111</v>
      </c>
      <c r="C220" s="7"/>
      <c r="D220" t="s">
        <v>1663</v>
      </c>
      <c r="E220" t="s">
        <v>2069</v>
      </c>
      <c r="F220" t="s">
        <v>2112</v>
      </c>
      <c r="G220" t="s">
        <v>2112</v>
      </c>
      <c r="J220" s="5"/>
      <c r="L220" s="5">
        <f t="shared" si="3"/>
        <v>0</v>
      </c>
      <c r="N220" s="5"/>
    </row>
    <row r="221" spans="1:14">
      <c r="A221" t="s">
        <v>2113</v>
      </c>
      <c r="C221" s="7"/>
      <c r="D221" t="s">
        <v>1663</v>
      </c>
      <c r="E221" t="s">
        <v>2069</v>
      </c>
      <c r="F221" t="s">
        <v>2114</v>
      </c>
      <c r="G221" t="s">
        <v>2114</v>
      </c>
      <c r="J221" s="5"/>
      <c r="L221" s="5">
        <f t="shared" si="3"/>
        <v>0</v>
      </c>
      <c r="N221" s="5"/>
    </row>
    <row r="222" spans="1:14">
      <c r="A222" t="s">
        <v>2115</v>
      </c>
      <c r="C222" s="7"/>
      <c r="D222" t="s">
        <v>1663</v>
      </c>
      <c r="E222" t="s">
        <v>2069</v>
      </c>
      <c r="F222" t="s">
        <v>2116</v>
      </c>
      <c r="G222" t="s">
        <v>2116</v>
      </c>
      <c r="J222" s="5"/>
      <c r="L222" s="5">
        <f t="shared" si="3"/>
        <v>0</v>
      </c>
      <c r="N222" s="5"/>
    </row>
    <row r="223" spans="1:14">
      <c r="A223" t="s">
        <v>2117</v>
      </c>
      <c r="C223" s="7"/>
      <c r="D223" t="s">
        <v>1663</v>
      </c>
      <c r="E223" t="s">
        <v>2069</v>
      </c>
      <c r="F223" t="s">
        <v>2118</v>
      </c>
      <c r="G223" t="s">
        <v>2118</v>
      </c>
      <c r="J223" s="5"/>
      <c r="L223" s="5">
        <f t="shared" si="3"/>
        <v>0</v>
      </c>
      <c r="N223" s="5"/>
    </row>
    <row r="224" spans="1:14">
      <c r="A224" t="s">
        <v>2119</v>
      </c>
      <c r="C224" s="7"/>
      <c r="D224" t="s">
        <v>1663</v>
      </c>
      <c r="E224" t="s">
        <v>2069</v>
      </c>
      <c r="F224" t="s">
        <v>2120</v>
      </c>
      <c r="G224" t="s">
        <v>2120</v>
      </c>
      <c r="J224" s="5"/>
      <c r="L224" s="5">
        <f t="shared" si="3"/>
        <v>0</v>
      </c>
      <c r="N224" s="5"/>
    </row>
    <row r="225" spans="1:14">
      <c r="A225" t="s">
        <v>2121</v>
      </c>
      <c r="C225" s="7"/>
      <c r="D225" t="s">
        <v>1663</v>
      </c>
      <c r="E225" t="s">
        <v>2069</v>
      </c>
      <c r="F225" t="s">
        <v>2122</v>
      </c>
      <c r="G225" t="s">
        <v>2122</v>
      </c>
      <c r="J225" s="5"/>
      <c r="L225" s="5">
        <f t="shared" si="3"/>
        <v>0</v>
      </c>
      <c r="N225" s="5"/>
    </row>
    <row r="226" spans="1:14">
      <c r="A226" t="s">
        <v>2123</v>
      </c>
      <c r="C226" s="7"/>
      <c r="D226" s="7"/>
      <c r="E226" t="s">
        <v>2069</v>
      </c>
      <c r="F226" t="s">
        <v>2124</v>
      </c>
      <c r="G226" s="7"/>
      <c r="J226" s="5"/>
      <c r="L226" s="5">
        <f t="shared" si="3"/>
        <v>0</v>
      </c>
      <c r="N226" s="5"/>
    </row>
    <row r="227" spans="1:14">
      <c r="A227" t="s">
        <v>2125</v>
      </c>
      <c r="C227" s="7"/>
      <c r="D227" t="s">
        <v>1663</v>
      </c>
      <c r="E227" t="s">
        <v>2069</v>
      </c>
      <c r="F227" t="s">
        <v>2126</v>
      </c>
      <c r="G227" t="s">
        <v>2126</v>
      </c>
      <c r="J227" s="5"/>
      <c r="L227" s="5">
        <f t="shared" si="3"/>
        <v>0</v>
      </c>
      <c r="N227" s="5"/>
    </row>
    <row r="228" spans="1:14">
      <c r="A228" t="s">
        <v>2127</v>
      </c>
      <c r="C228" s="7"/>
      <c r="D228" t="s">
        <v>1663</v>
      </c>
      <c r="E228" t="s">
        <v>2069</v>
      </c>
      <c r="F228" t="s">
        <v>2128</v>
      </c>
      <c r="G228" t="s">
        <v>2128</v>
      </c>
      <c r="J228" s="5"/>
      <c r="L228" s="5">
        <f t="shared" si="3"/>
        <v>0</v>
      </c>
      <c r="N228" s="5"/>
    </row>
    <row r="229" spans="1:14">
      <c r="A229" t="s">
        <v>2129</v>
      </c>
      <c r="C229" s="7"/>
      <c r="D229" t="s">
        <v>1663</v>
      </c>
      <c r="E229" t="s">
        <v>2069</v>
      </c>
      <c r="F229" t="s">
        <v>2130</v>
      </c>
      <c r="G229" t="s">
        <v>2130</v>
      </c>
      <c r="J229" s="5"/>
      <c r="L229" s="5">
        <f t="shared" si="3"/>
        <v>0</v>
      </c>
      <c r="N229" s="5"/>
    </row>
    <row r="230" spans="1:14">
      <c r="A230" t="s">
        <v>2131</v>
      </c>
      <c r="C230" s="7"/>
      <c r="D230" t="s">
        <v>1663</v>
      </c>
      <c r="E230" t="s">
        <v>2069</v>
      </c>
      <c r="F230" t="s">
        <v>2132</v>
      </c>
      <c r="G230" t="s">
        <v>2132</v>
      </c>
      <c r="J230" s="5"/>
      <c r="L230" s="5">
        <f t="shared" si="3"/>
        <v>0</v>
      </c>
      <c r="N230" s="5"/>
    </row>
    <row r="231" spans="1:14">
      <c r="A231" t="s">
        <v>2133</v>
      </c>
      <c r="C231" s="7"/>
      <c r="D231" t="s">
        <v>1663</v>
      </c>
      <c r="E231" t="s">
        <v>2069</v>
      </c>
      <c r="F231" t="s">
        <v>2134</v>
      </c>
      <c r="G231" t="s">
        <v>2134</v>
      </c>
      <c r="J231" s="5"/>
      <c r="L231" s="5">
        <f t="shared" si="3"/>
        <v>0</v>
      </c>
      <c r="N231" s="5"/>
    </row>
    <row r="232" spans="1:14">
      <c r="A232" t="s">
        <v>2135</v>
      </c>
      <c r="C232" s="7"/>
      <c r="D232" t="s">
        <v>1663</v>
      </c>
      <c r="E232" t="s">
        <v>2069</v>
      </c>
      <c r="F232" t="s">
        <v>2136</v>
      </c>
      <c r="G232" s="7"/>
      <c r="J232" s="5"/>
      <c r="L232" s="5">
        <f t="shared" si="3"/>
        <v>0</v>
      </c>
      <c r="N232" s="5"/>
    </row>
    <row r="233" spans="1:14">
      <c r="A233" t="s">
        <v>2137</v>
      </c>
      <c r="C233" s="7"/>
      <c r="D233" t="s">
        <v>1663</v>
      </c>
      <c r="E233" t="s">
        <v>2069</v>
      </c>
      <c r="F233" t="s">
        <v>2138</v>
      </c>
      <c r="G233" t="s">
        <v>2138</v>
      </c>
      <c r="J233" s="5"/>
      <c r="L233" s="5">
        <f t="shared" si="3"/>
        <v>0</v>
      </c>
      <c r="N233" s="5"/>
    </row>
    <row r="234" spans="1:14">
      <c r="A234" t="s">
        <v>2139</v>
      </c>
      <c r="C234" s="7"/>
      <c r="D234" t="s">
        <v>1663</v>
      </c>
      <c r="E234" t="s">
        <v>2069</v>
      </c>
      <c r="F234" t="s">
        <v>2140</v>
      </c>
      <c r="G234" t="s">
        <v>2140</v>
      </c>
      <c r="J234" s="5"/>
      <c r="L234" s="5">
        <f t="shared" si="3"/>
        <v>0</v>
      </c>
      <c r="N234" s="5"/>
    </row>
    <row r="235" spans="1:14">
      <c r="A235" t="s">
        <v>2143</v>
      </c>
      <c r="C235" s="7"/>
      <c r="D235" t="s">
        <v>1656</v>
      </c>
      <c r="E235" t="s">
        <v>2069</v>
      </c>
      <c r="F235" t="s">
        <v>2144</v>
      </c>
      <c r="G235" t="s">
        <v>2144</v>
      </c>
      <c r="J235" s="5"/>
      <c r="L235" s="5">
        <f t="shared" si="3"/>
        <v>0</v>
      </c>
      <c r="N235" s="5"/>
    </row>
    <row r="236" spans="1:14">
      <c r="A236" t="s">
        <v>2141</v>
      </c>
      <c r="C236" s="7"/>
      <c r="D236" t="s">
        <v>1663</v>
      </c>
      <c r="E236" t="s">
        <v>2069</v>
      </c>
      <c r="F236" t="s">
        <v>2142</v>
      </c>
      <c r="G236" t="s">
        <v>2142</v>
      </c>
      <c r="J236" s="5"/>
      <c r="L236" s="5">
        <f t="shared" si="3"/>
        <v>0</v>
      </c>
      <c r="N236" s="5"/>
    </row>
    <row r="237" spans="1:14">
      <c r="A237" t="s">
        <v>2145</v>
      </c>
      <c r="C237" s="7"/>
      <c r="D237" t="s">
        <v>1663</v>
      </c>
      <c r="E237" t="s">
        <v>2069</v>
      </c>
      <c r="F237" t="s">
        <v>2146</v>
      </c>
      <c r="G237" t="s">
        <v>2146</v>
      </c>
      <c r="J237" s="5"/>
      <c r="L237" s="5">
        <f t="shared" si="3"/>
        <v>0</v>
      </c>
      <c r="N237" s="5"/>
    </row>
    <row r="238" spans="1:14">
      <c r="A238" t="s">
        <v>2147</v>
      </c>
      <c r="C238" s="7"/>
      <c r="D238" t="s">
        <v>1663</v>
      </c>
      <c r="E238" t="s">
        <v>2069</v>
      </c>
      <c r="F238" t="s">
        <v>2148</v>
      </c>
      <c r="G238" t="s">
        <v>2148</v>
      </c>
      <c r="J238" s="5"/>
      <c r="L238" s="5">
        <f t="shared" si="3"/>
        <v>0</v>
      </c>
      <c r="N238" s="5"/>
    </row>
    <row r="239" spans="1:14">
      <c r="A239" t="s">
        <v>2151</v>
      </c>
      <c r="C239" s="7"/>
      <c r="D239" t="s">
        <v>1663</v>
      </c>
      <c r="E239" t="s">
        <v>2069</v>
      </c>
      <c r="F239" t="s">
        <v>2152</v>
      </c>
      <c r="G239" t="s">
        <v>2152</v>
      </c>
      <c r="J239" s="5"/>
      <c r="L239" s="5">
        <f t="shared" si="3"/>
        <v>0</v>
      </c>
      <c r="N239" s="5"/>
    </row>
    <row r="240" spans="1:14">
      <c r="A240" t="s">
        <v>2153</v>
      </c>
      <c r="C240" s="7"/>
      <c r="D240" t="s">
        <v>1663</v>
      </c>
      <c r="E240" t="s">
        <v>2069</v>
      </c>
      <c r="F240" t="s">
        <v>2154</v>
      </c>
      <c r="G240" s="7"/>
      <c r="J240" s="5"/>
      <c r="L240" s="5">
        <f t="shared" si="3"/>
        <v>0</v>
      </c>
      <c r="N240" s="5"/>
    </row>
    <row r="241" spans="1:14">
      <c r="A241" t="s">
        <v>2155</v>
      </c>
      <c r="C241" s="7"/>
      <c r="D241" t="s">
        <v>1663</v>
      </c>
      <c r="E241" t="s">
        <v>2069</v>
      </c>
      <c r="F241" t="s">
        <v>2156</v>
      </c>
      <c r="G241" t="s">
        <v>2156</v>
      </c>
      <c r="J241" s="5"/>
      <c r="L241" s="5">
        <f t="shared" si="3"/>
        <v>0</v>
      </c>
      <c r="N241" s="5"/>
    </row>
    <row r="242" spans="1:14">
      <c r="A242" t="s">
        <v>2157</v>
      </c>
      <c r="C242" s="7"/>
      <c r="D242" t="s">
        <v>1663</v>
      </c>
      <c r="E242" t="s">
        <v>2069</v>
      </c>
      <c r="F242" t="s">
        <v>2158</v>
      </c>
      <c r="G242" t="s">
        <v>2158</v>
      </c>
      <c r="J242" s="5"/>
      <c r="L242" s="5">
        <f t="shared" si="3"/>
        <v>0</v>
      </c>
      <c r="N242" s="5"/>
    </row>
    <row r="243" spans="1:14">
      <c r="A243" t="s">
        <v>2159</v>
      </c>
      <c r="C243" s="7"/>
      <c r="D243" t="s">
        <v>1663</v>
      </c>
      <c r="E243" t="s">
        <v>2069</v>
      </c>
      <c r="F243" t="s">
        <v>2160</v>
      </c>
      <c r="G243" t="s">
        <v>2160</v>
      </c>
      <c r="J243" s="5"/>
      <c r="L243" s="5">
        <f t="shared" si="3"/>
        <v>0</v>
      </c>
      <c r="N243" s="5"/>
    </row>
    <row r="244" spans="1:14">
      <c r="A244" t="s">
        <v>2161</v>
      </c>
      <c r="C244" s="7"/>
      <c r="D244" t="s">
        <v>1663</v>
      </c>
      <c r="E244" t="s">
        <v>2069</v>
      </c>
      <c r="F244" t="s">
        <v>2162</v>
      </c>
      <c r="G244" t="s">
        <v>2162</v>
      </c>
      <c r="J244" s="5"/>
      <c r="L244" s="5">
        <f t="shared" si="3"/>
        <v>0</v>
      </c>
      <c r="N244" s="5"/>
    </row>
    <row r="245" spans="1:14">
      <c r="A245" t="s">
        <v>2163</v>
      </c>
      <c r="C245" s="7"/>
      <c r="D245" t="s">
        <v>1663</v>
      </c>
      <c r="E245" t="s">
        <v>2069</v>
      </c>
      <c r="F245" t="s">
        <v>2164</v>
      </c>
      <c r="G245" t="s">
        <v>2164</v>
      </c>
      <c r="J245" s="5"/>
      <c r="L245" s="5">
        <f t="shared" si="3"/>
        <v>0</v>
      </c>
      <c r="N245" s="5"/>
    </row>
    <row r="246" spans="1:14">
      <c r="A246" t="s">
        <v>2165</v>
      </c>
      <c r="C246" s="7"/>
      <c r="D246" t="s">
        <v>1656</v>
      </c>
      <c r="E246" t="s">
        <v>2069</v>
      </c>
      <c r="F246" t="s">
        <v>2166</v>
      </c>
      <c r="G246" t="s">
        <v>2166</v>
      </c>
      <c r="J246" s="5"/>
      <c r="L246" s="5">
        <f t="shared" si="3"/>
        <v>0</v>
      </c>
      <c r="N246" s="5"/>
    </row>
    <row r="247" spans="1:14">
      <c r="A247" t="s">
        <v>2167</v>
      </c>
      <c r="C247" s="7"/>
      <c r="D247" t="s">
        <v>1663</v>
      </c>
      <c r="E247" t="s">
        <v>2069</v>
      </c>
      <c r="F247" t="s">
        <v>2168</v>
      </c>
      <c r="G247" t="s">
        <v>2168</v>
      </c>
      <c r="J247" s="5"/>
      <c r="L247" s="5">
        <f t="shared" si="3"/>
        <v>0</v>
      </c>
      <c r="N247" s="5"/>
    </row>
    <row r="248" spans="1:14">
      <c r="A248" t="s">
        <v>2169</v>
      </c>
      <c r="C248" s="7"/>
      <c r="D248" t="s">
        <v>1663</v>
      </c>
      <c r="E248" t="s">
        <v>2069</v>
      </c>
      <c r="F248" t="s">
        <v>2170</v>
      </c>
      <c r="G248" t="s">
        <v>2170</v>
      </c>
      <c r="J248" s="5"/>
      <c r="L248" s="5">
        <f t="shared" si="3"/>
        <v>0</v>
      </c>
      <c r="N248" s="5"/>
    </row>
    <row r="249" spans="1:14">
      <c r="A249" t="s">
        <v>2171</v>
      </c>
      <c r="C249" s="7"/>
      <c r="D249" t="s">
        <v>1663</v>
      </c>
      <c r="E249" t="s">
        <v>2069</v>
      </c>
      <c r="F249" t="s">
        <v>2172</v>
      </c>
      <c r="G249" s="7"/>
      <c r="J249" s="5"/>
      <c r="L249" s="5">
        <f t="shared" si="3"/>
        <v>0</v>
      </c>
      <c r="N249" s="5"/>
    </row>
    <row r="250" spans="1:14">
      <c r="A250" t="s">
        <v>2173</v>
      </c>
      <c r="C250" s="7"/>
      <c r="D250" t="s">
        <v>1663</v>
      </c>
      <c r="E250" t="s">
        <v>2069</v>
      </c>
      <c r="F250" t="s">
        <v>2174</v>
      </c>
      <c r="G250" t="s">
        <v>2174</v>
      </c>
      <c r="J250" s="5"/>
      <c r="L250" s="5">
        <f t="shared" si="3"/>
        <v>0</v>
      </c>
      <c r="N250" s="5"/>
    </row>
    <row r="251" spans="1:14">
      <c r="A251" t="s">
        <v>2175</v>
      </c>
      <c r="C251" s="7"/>
      <c r="D251" t="s">
        <v>1663</v>
      </c>
      <c r="E251" t="s">
        <v>2069</v>
      </c>
      <c r="F251" t="s">
        <v>2176</v>
      </c>
      <c r="G251" s="7"/>
      <c r="J251" s="5"/>
      <c r="L251" s="5">
        <f t="shared" si="3"/>
        <v>0</v>
      </c>
      <c r="N251" s="5"/>
    </row>
    <row r="252" spans="1:14">
      <c r="A252" t="s">
        <v>2177</v>
      </c>
      <c r="C252" s="7"/>
      <c r="D252" t="s">
        <v>1663</v>
      </c>
      <c r="E252" t="s">
        <v>2069</v>
      </c>
      <c r="F252" t="s">
        <v>2178</v>
      </c>
      <c r="G252" t="s">
        <v>2178</v>
      </c>
      <c r="J252" s="5"/>
      <c r="L252" s="5">
        <f t="shared" si="3"/>
        <v>0</v>
      </c>
      <c r="N252" s="5"/>
    </row>
    <row r="253" spans="1:14">
      <c r="A253" t="s">
        <v>2179</v>
      </c>
      <c r="C253" s="7"/>
      <c r="D253" t="s">
        <v>1663</v>
      </c>
      <c r="E253" t="s">
        <v>2069</v>
      </c>
      <c r="F253" t="s">
        <v>2180</v>
      </c>
      <c r="G253" t="s">
        <v>2180</v>
      </c>
      <c r="J253" s="5"/>
      <c r="L253" s="5">
        <f t="shared" si="3"/>
        <v>0</v>
      </c>
      <c r="N253" s="5"/>
    </row>
    <row r="254" spans="1:14">
      <c r="A254" t="s">
        <v>2181</v>
      </c>
      <c r="C254" s="7"/>
      <c r="D254" t="s">
        <v>1663</v>
      </c>
      <c r="E254" t="s">
        <v>2069</v>
      </c>
      <c r="F254" t="s">
        <v>2182</v>
      </c>
      <c r="G254" t="s">
        <v>2182</v>
      </c>
      <c r="J254" s="5"/>
      <c r="L254" s="5">
        <f t="shared" si="3"/>
        <v>0</v>
      </c>
      <c r="N254" s="5"/>
    </row>
    <row r="255" spans="1:14">
      <c r="A255" t="s">
        <v>2183</v>
      </c>
      <c r="C255" s="7"/>
      <c r="D255" t="s">
        <v>1663</v>
      </c>
      <c r="E255" t="s">
        <v>2069</v>
      </c>
      <c r="F255" t="s">
        <v>2184</v>
      </c>
      <c r="G255" t="s">
        <v>2184</v>
      </c>
      <c r="J255" s="5"/>
      <c r="L255" s="5">
        <f t="shared" si="3"/>
        <v>0</v>
      </c>
      <c r="N255" s="5"/>
    </row>
    <row r="256" spans="1:14">
      <c r="A256" t="s">
        <v>2185</v>
      </c>
      <c r="C256" s="7"/>
      <c r="D256" t="s">
        <v>1663</v>
      </c>
      <c r="E256" t="s">
        <v>2069</v>
      </c>
      <c r="F256" t="s">
        <v>2186</v>
      </c>
      <c r="G256" t="s">
        <v>2186</v>
      </c>
      <c r="J256" s="5"/>
      <c r="L256" s="5">
        <f t="shared" si="3"/>
        <v>0</v>
      </c>
      <c r="N256" s="5"/>
    </row>
    <row r="257" spans="1:14">
      <c r="A257" t="s">
        <v>2187</v>
      </c>
      <c r="C257" s="7"/>
      <c r="D257" t="s">
        <v>1663</v>
      </c>
      <c r="E257" t="s">
        <v>2069</v>
      </c>
      <c r="F257" t="s">
        <v>2188</v>
      </c>
      <c r="G257" t="s">
        <v>2188</v>
      </c>
      <c r="J257" s="5"/>
      <c r="L257" s="5">
        <f t="shared" si="3"/>
        <v>0</v>
      </c>
      <c r="N257" s="5"/>
    </row>
    <row r="258" spans="1:14">
      <c r="A258" t="s">
        <v>2189</v>
      </c>
      <c r="C258" s="7"/>
      <c r="D258" t="s">
        <v>1663</v>
      </c>
      <c r="E258" t="s">
        <v>2069</v>
      </c>
      <c r="F258" t="s">
        <v>2190</v>
      </c>
      <c r="G258" t="s">
        <v>2190</v>
      </c>
      <c r="J258" s="5"/>
      <c r="L258" s="5">
        <f t="shared" ref="L258:L298" si="4">IFERROR(EDATE(J258,K258),"-")</f>
        <v>0</v>
      </c>
      <c r="N258" s="5"/>
    </row>
    <row r="259" spans="1:14">
      <c r="A259" t="s">
        <v>2191</v>
      </c>
      <c r="C259" s="7"/>
      <c r="D259" t="s">
        <v>1663</v>
      </c>
      <c r="E259" t="s">
        <v>2069</v>
      </c>
      <c r="F259" t="s">
        <v>2192</v>
      </c>
      <c r="G259" t="s">
        <v>2192</v>
      </c>
      <c r="J259" s="5"/>
      <c r="L259" s="5">
        <f t="shared" si="4"/>
        <v>0</v>
      </c>
      <c r="N259" s="5"/>
    </row>
    <row r="260" spans="1:14">
      <c r="A260" t="s">
        <v>2195</v>
      </c>
      <c r="C260" s="7"/>
      <c r="D260" t="s">
        <v>1663</v>
      </c>
      <c r="E260" t="s">
        <v>2069</v>
      </c>
      <c r="F260" t="s">
        <v>2196</v>
      </c>
      <c r="G260" t="s">
        <v>2196</v>
      </c>
      <c r="J260" s="5"/>
      <c r="L260" s="5">
        <f t="shared" si="4"/>
        <v>0</v>
      </c>
      <c r="N260" s="5"/>
    </row>
    <row r="261" spans="1:14">
      <c r="A261" t="s">
        <v>2199</v>
      </c>
      <c r="C261" s="7"/>
      <c r="D261" t="s">
        <v>1663</v>
      </c>
      <c r="E261" t="s">
        <v>2069</v>
      </c>
      <c r="F261" t="s">
        <v>2200</v>
      </c>
      <c r="G261" t="s">
        <v>2200</v>
      </c>
      <c r="J261" s="5"/>
      <c r="L261" s="5">
        <f t="shared" si="4"/>
        <v>0</v>
      </c>
      <c r="N261" s="5"/>
    </row>
    <row r="262" spans="1:14">
      <c r="A262" t="s">
        <v>2201</v>
      </c>
      <c r="C262" s="7"/>
      <c r="D262" t="s">
        <v>1663</v>
      </c>
      <c r="E262" t="s">
        <v>2069</v>
      </c>
      <c r="F262" t="s">
        <v>2202</v>
      </c>
      <c r="G262" t="s">
        <v>2202</v>
      </c>
      <c r="J262" s="5"/>
      <c r="L262" s="5">
        <f t="shared" si="4"/>
        <v>0</v>
      </c>
      <c r="N262" s="5"/>
    </row>
    <row r="263" spans="1:14">
      <c r="A263" t="s">
        <v>2203</v>
      </c>
      <c r="C263" s="7"/>
      <c r="D263" t="s">
        <v>1663</v>
      </c>
      <c r="E263" t="s">
        <v>2069</v>
      </c>
      <c r="F263" t="s">
        <v>2204</v>
      </c>
      <c r="G263" t="s">
        <v>2204</v>
      </c>
      <c r="J263" s="5"/>
      <c r="L263" s="5">
        <f t="shared" si="4"/>
        <v>0</v>
      </c>
      <c r="N263" s="5"/>
    </row>
    <row r="264" spans="1:14">
      <c r="A264" t="s">
        <v>2205</v>
      </c>
      <c r="C264" s="7"/>
      <c r="D264" t="s">
        <v>1663</v>
      </c>
      <c r="E264" t="s">
        <v>2069</v>
      </c>
      <c r="F264" t="s">
        <v>2206</v>
      </c>
      <c r="G264" t="s">
        <v>2206</v>
      </c>
      <c r="J264" s="5"/>
      <c r="L264" s="5">
        <f t="shared" si="4"/>
        <v>0</v>
      </c>
      <c r="N264" s="5"/>
    </row>
    <row r="265" spans="1:14">
      <c r="A265" t="s">
        <v>2207</v>
      </c>
      <c r="C265" s="7"/>
      <c r="D265" t="s">
        <v>1663</v>
      </c>
      <c r="E265" t="s">
        <v>2069</v>
      </c>
      <c r="F265" t="s">
        <v>2208</v>
      </c>
      <c r="G265" t="s">
        <v>2208</v>
      </c>
      <c r="J265" s="5"/>
      <c r="L265" s="5">
        <f t="shared" si="4"/>
        <v>0</v>
      </c>
      <c r="N265" s="5"/>
    </row>
    <row r="266" spans="1:14">
      <c r="A266" t="s">
        <v>2210</v>
      </c>
      <c r="C266" s="7"/>
      <c r="D266" t="s">
        <v>1663</v>
      </c>
      <c r="E266" t="s">
        <v>2069</v>
      </c>
      <c r="F266" t="s">
        <v>2211</v>
      </c>
      <c r="G266" t="s">
        <v>2211</v>
      </c>
      <c r="J266" s="5"/>
      <c r="L266" s="5">
        <f t="shared" si="4"/>
        <v>0</v>
      </c>
      <c r="N266" s="5"/>
    </row>
    <row r="267" spans="1:14">
      <c r="A267" t="s">
        <v>2212</v>
      </c>
      <c r="C267" s="7"/>
      <c r="D267" t="s">
        <v>1663</v>
      </c>
      <c r="E267" t="s">
        <v>2069</v>
      </c>
      <c r="F267" t="s">
        <v>2213</v>
      </c>
      <c r="G267" t="s">
        <v>2213</v>
      </c>
      <c r="J267" s="5"/>
      <c r="L267" s="5">
        <f t="shared" si="4"/>
        <v>0</v>
      </c>
      <c r="N267" s="5"/>
    </row>
    <row r="268" spans="1:14">
      <c r="A268" t="s">
        <v>2214</v>
      </c>
      <c r="C268" s="7"/>
      <c r="D268" t="s">
        <v>1663</v>
      </c>
      <c r="E268" t="s">
        <v>2069</v>
      </c>
      <c r="F268" t="s">
        <v>2215</v>
      </c>
      <c r="G268" t="s">
        <v>2215</v>
      </c>
      <c r="J268" s="5"/>
      <c r="L268" s="5">
        <f t="shared" si="4"/>
        <v>0</v>
      </c>
      <c r="N268" s="5"/>
    </row>
    <row r="269" spans="1:14">
      <c r="A269" t="s">
        <v>2216</v>
      </c>
      <c r="C269" s="7"/>
      <c r="D269" t="s">
        <v>1663</v>
      </c>
      <c r="E269" t="s">
        <v>2069</v>
      </c>
      <c r="F269" t="s">
        <v>2217</v>
      </c>
      <c r="G269" t="s">
        <v>2217</v>
      </c>
      <c r="J269" s="5"/>
      <c r="L269" s="5">
        <f t="shared" si="4"/>
        <v>0</v>
      </c>
      <c r="N269" s="5"/>
    </row>
    <row r="270" spans="1:14">
      <c r="A270" t="s">
        <v>2218</v>
      </c>
      <c r="C270" s="7"/>
      <c r="D270" t="s">
        <v>1663</v>
      </c>
      <c r="E270" t="s">
        <v>2069</v>
      </c>
      <c r="F270" t="s">
        <v>2219</v>
      </c>
      <c r="G270" t="s">
        <v>2219</v>
      </c>
      <c r="J270" s="5"/>
      <c r="L270" s="5">
        <f t="shared" si="4"/>
        <v>0</v>
      </c>
      <c r="N270" s="5"/>
    </row>
    <row r="271" spans="1:14">
      <c r="A271" t="s">
        <v>2220</v>
      </c>
      <c r="C271" s="7"/>
      <c r="D271" t="s">
        <v>1663</v>
      </c>
      <c r="E271" t="s">
        <v>2069</v>
      </c>
      <c r="F271" t="s">
        <v>2221</v>
      </c>
      <c r="G271" t="s">
        <v>2221</v>
      </c>
      <c r="J271" s="5"/>
      <c r="L271" s="5">
        <f t="shared" si="4"/>
        <v>0</v>
      </c>
      <c r="N271" s="5"/>
    </row>
    <row r="272" spans="1:14">
      <c r="A272" t="s">
        <v>2222</v>
      </c>
      <c r="C272" s="7"/>
      <c r="D272" t="s">
        <v>1663</v>
      </c>
      <c r="E272" t="s">
        <v>2069</v>
      </c>
      <c r="F272" t="s">
        <v>2223</v>
      </c>
      <c r="G272" t="s">
        <v>2223</v>
      </c>
      <c r="J272" s="5"/>
      <c r="L272" s="5">
        <f t="shared" si="4"/>
        <v>0</v>
      </c>
      <c r="N272" s="5"/>
    </row>
    <row r="273" spans="1:14">
      <c r="A273" t="s">
        <v>2224</v>
      </c>
      <c r="C273" s="7"/>
      <c r="D273" t="s">
        <v>1663</v>
      </c>
      <c r="E273" t="s">
        <v>2069</v>
      </c>
      <c r="F273" t="s">
        <v>2225</v>
      </c>
      <c r="G273" t="s">
        <v>2225</v>
      </c>
      <c r="J273" s="5"/>
      <c r="L273" s="5">
        <f t="shared" si="4"/>
        <v>0</v>
      </c>
      <c r="N273" s="5"/>
    </row>
    <row r="274" spans="1:14">
      <c r="A274" t="s">
        <v>2226</v>
      </c>
      <c r="C274" s="7"/>
      <c r="D274" t="s">
        <v>1663</v>
      </c>
      <c r="E274" t="s">
        <v>2069</v>
      </c>
      <c r="F274" t="s">
        <v>2227</v>
      </c>
      <c r="G274" t="s">
        <v>2227</v>
      </c>
      <c r="J274" s="5"/>
      <c r="L274" s="5">
        <f t="shared" si="4"/>
        <v>0</v>
      </c>
      <c r="N274" s="5"/>
    </row>
    <row r="275" spans="1:14">
      <c r="A275" t="s">
        <v>2229</v>
      </c>
      <c r="C275" s="7"/>
      <c r="D275" t="s">
        <v>1663</v>
      </c>
      <c r="E275" t="s">
        <v>2069</v>
      </c>
      <c r="F275" t="s">
        <v>2230</v>
      </c>
      <c r="G275" t="s">
        <v>2230</v>
      </c>
      <c r="J275" s="5"/>
      <c r="L275" s="5">
        <f t="shared" si="4"/>
        <v>0</v>
      </c>
      <c r="N275" s="5"/>
    </row>
    <row r="276" spans="1:14">
      <c r="A276" t="s">
        <v>2231</v>
      </c>
      <c r="C276" s="7"/>
      <c r="D276" t="s">
        <v>1663</v>
      </c>
      <c r="E276" t="s">
        <v>2069</v>
      </c>
      <c r="F276" t="s">
        <v>2232</v>
      </c>
      <c r="G276" t="s">
        <v>2232</v>
      </c>
      <c r="J276" s="5"/>
      <c r="L276" s="5">
        <f t="shared" si="4"/>
        <v>0</v>
      </c>
      <c r="N276" s="5"/>
    </row>
    <row r="277" spans="1:14">
      <c r="A277" t="s">
        <v>2233</v>
      </c>
      <c r="C277" s="7"/>
      <c r="D277" t="s">
        <v>1663</v>
      </c>
      <c r="E277" t="s">
        <v>2069</v>
      </c>
      <c r="F277" t="s">
        <v>2234</v>
      </c>
      <c r="G277" t="s">
        <v>2234</v>
      </c>
      <c r="J277" s="5"/>
      <c r="L277" s="5">
        <f t="shared" si="4"/>
        <v>0</v>
      </c>
      <c r="N277" s="5"/>
    </row>
    <row r="278" spans="1:14">
      <c r="A278" t="s">
        <v>2235</v>
      </c>
      <c r="C278" s="7"/>
      <c r="D278" t="s">
        <v>1663</v>
      </c>
      <c r="E278" t="s">
        <v>2069</v>
      </c>
      <c r="F278" t="s">
        <v>2236</v>
      </c>
      <c r="G278" t="s">
        <v>2236</v>
      </c>
      <c r="J278" s="5"/>
      <c r="L278" s="5">
        <f t="shared" si="4"/>
        <v>0</v>
      </c>
      <c r="N278" s="5"/>
    </row>
    <row r="279" spans="1:14">
      <c r="A279" t="s">
        <v>2237</v>
      </c>
      <c r="C279" s="7"/>
      <c r="D279" t="s">
        <v>1663</v>
      </c>
      <c r="E279" t="s">
        <v>2069</v>
      </c>
      <c r="F279" t="s">
        <v>2238</v>
      </c>
      <c r="G279" t="s">
        <v>2238</v>
      </c>
      <c r="J279" s="5"/>
      <c r="L279" s="5">
        <f t="shared" si="4"/>
        <v>0</v>
      </c>
      <c r="N279" s="5"/>
    </row>
    <row r="280" spans="1:14">
      <c r="A280" t="s">
        <v>2239</v>
      </c>
      <c r="C280" s="7"/>
      <c r="D280" t="s">
        <v>1663</v>
      </c>
      <c r="E280" t="s">
        <v>2069</v>
      </c>
      <c r="F280" t="s">
        <v>2240</v>
      </c>
      <c r="G280" t="s">
        <v>2240</v>
      </c>
      <c r="J280" s="5"/>
      <c r="L280" s="5">
        <f t="shared" si="4"/>
        <v>0</v>
      </c>
      <c r="N280" s="5"/>
    </row>
    <row r="281" spans="1:14">
      <c r="A281" t="s">
        <v>2243</v>
      </c>
      <c r="C281" s="7"/>
      <c r="D281" t="s">
        <v>1663</v>
      </c>
      <c r="E281" t="s">
        <v>2069</v>
      </c>
      <c r="F281" t="s">
        <v>2244</v>
      </c>
      <c r="G281" t="s">
        <v>2244</v>
      </c>
      <c r="J281" s="5"/>
      <c r="L281" s="5">
        <f t="shared" si="4"/>
        <v>0</v>
      </c>
      <c r="N281" s="5"/>
    </row>
    <row r="282" spans="1:14">
      <c r="A282" t="s">
        <v>2245</v>
      </c>
      <c r="C282" s="7"/>
      <c r="D282" t="s">
        <v>1663</v>
      </c>
      <c r="E282">
        <v>18539</v>
      </c>
      <c r="F282" t="s">
        <v>2246</v>
      </c>
      <c r="G282" s="7"/>
      <c r="J282" s="5"/>
      <c r="L282" s="5">
        <f t="shared" si="4"/>
        <v>0</v>
      </c>
      <c r="N282" s="5"/>
    </row>
    <row r="283" spans="1:14">
      <c r="A283" t="s">
        <v>2247</v>
      </c>
      <c r="C283" s="7"/>
      <c r="D283" t="s">
        <v>1663</v>
      </c>
      <c r="E283" t="s">
        <v>2069</v>
      </c>
      <c r="F283" t="s">
        <v>2248</v>
      </c>
      <c r="G283" t="s">
        <v>2248</v>
      </c>
      <c r="J283" s="5"/>
      <c r="L283" s="5">
        <f t="shared" si="4"/>
        <v>0</v>
      </c>
      <c r="N283" s="5"/>
    </row>
    <row r="284" spans="1:14">
      <c r="A284" t="s">
        <v>2249</v>
      </c>
      <c r="C284" s="7"/>
      <c r="D284" t="s">
        <v>1663</v>
      </c>
      <c r="E284" t="s">
        <v>2069</v>
      </c>
      <c r="F284" t="s">
        <v>2250</v>
      </c>
      <c r="G284" t="s">
        <v>2250</v>
      </c>
      <c r="J284" s="5"/>
      <c r="L284" s="5">
        <f t="shared" si="4"/>
        <v>0</v>
      </c>
      <c r="N284" s="5"/>
    </row>
    <row r="285" spans="1:14">
      <c r="A285" t="s">
        <v>2251</v>
      </c>
      <c r="C285" s="7"/>
      <c r="D285" t="s">
        <v>1663</v>
      </c>
      <c r="E285" t="s">
        <v>2069</v>
      </c>
      <c r="F285" t="s">
        <v>2252</v>
      </c>
      <c r="G285" t="s">
        <v>2252</v>
      </c>
      <c r="J285" s="5"/>
      <c r="L285" s="5">
        <f t="shared" si="4"/>
        <v>0</v>
      </c>
      <c r="N285" s="5"/>
    </row>
    <row r="286" spans="1:14">
      <c r="A286" t="s">
        <v>2253</v>
      </c>
      <c r="C286" s="7"/>
      <c r="D286" t="s">
        <v>1663</v>
      </c>
      <c r="E286" t="s">
        <v>2069</v>
      </c>
      <c r="F286" t="s">
        <v>2254</v>
      </c>
      <c r="G286" t="s">
        <v>2254</v>
      </c>
      <c r="J286" s="5"/>
      <c r="L286" s="5">
        <f t="shared" si="4"/>
        <v>0</v>
      </c>
      <c r="N286" s="5"/>
    </row>
    <row r="287" spans="1:14">
      <c r="A287" t="s">
        <v>2255</v>
      </c>
      <c r="C287" s="7"/>
      <c r="D287" t="s">
        <v>1663</v>
      </c>
      <c r="E287" t="s">
        <v>2069</v>
      </c>
      <c r="F287" t="s">
        <v>2256</v>
      </c>
      <c r="G287" t="s">
        <v>2256</v>
      </c>
      <c r="J287" s="5"/>
      <c r="L287" s="5">
        <f t="shared" si="4"/>
        <v>0</v>
      </c>
      <c r="N287" s="5"/>
    </row>
    <row r="288" spans="1:14">
      <c r="A288" t="s">
        <v>2257</v>
      </c>
      <c r="C288" s="7"/>
      <c r="D288" t="s">
        <v>1663</v>
      </c>
      <c r="E288" t="s">
        <v>2069</v>
      </c>
      <c r="F288" t="s">
        <v>2258</v>
      </c>
      <c r="G288" t="s">
        <v>2258</v>
      </c>
      <c r="J288" s="5"/>
      <c r="L288" s="5">
        <f t="shared" si="4"/>
        <v>0</v>
      </c>
      <c r="N288" s="5"/>
    </row>
    <row r="289" spans="1:14">
      <c r="A289" t="s">
        <v>2259</v>
      </c>
      <c r="C289" s="7"/>
      <c r="D289" t="s">
        <v>1663</v>
      </c>
      <c r="E289" t="s">
        <v>2069</v>
      </c>
      <c r="F289" t="s">
        <v>2260</v>
      </c>
      <c r="G289" t="s">
        <v>2260</v>
      </c>
      <c r="J289" s="5"/>
      <c r="L289" s="5">
        <f t="shared" si="4"/>
        <v>0</v>
      </c>
      <c r="N289" s="5"/>
    </row>
    <row r="290" spans="1:14">
      <c r="A290" t="s">
        <v>2263</v>
      </c>
      <c r="C290" s="7"/>
      <c r="D290" t="s">
        <v>1663</v>
      </c>
      <c r="E290" t="s">
        <v>2264</v>
      </c>
      <c r="F290" t="s">
        <v>2265</v>
      </c>
      <c r="G290" t="s">
        <v>2265</v>
      </c>
      <c r="J290" s="5"/>
      <c r="L290" s="5">
        <f t="shared" si="4"/>
        <v>0</v>
      </c>
      <c r="N290" s="5"/>
    </row>
    <row r="291" spans="1:14">
      <c r="A291" t="s">
        <v>2268</v>
      </c>
      <c r="C291" s="7"/>
      <c r="D291" s="7"/>
      <c r="E291" t="s">
        <v>2069</v>
      </c>
      <c r="F291" t="s">
        <v>2269</v>
      </c>
      <c r="G291" s="7"/>
      <c r="J291" s="5"/>
      <c r="L291" s="5">
        <f t="shared" si="4"/>
        <v>0</v>
      </c>
      <c r="N291" s="5"/>
    </row>
    <row r="292" spans="1:14">
      <c r="A292" t="s">
        <v>2270</v>
      </c>
      <c r="C292" s="7"/>
      <c r="D292" t="s">
        <v>1663</v>
      </c>
      <c r="E292" s="7"/>
      <c r="F292" t="s">
        <v>2271</v>
      </c>
      <c r="G292" t="s">
        <v>2271</v>
      </c>
      <c r="J292" s="5"/>
      <c r="L292" s="5">
        <f t="shared" si="4"/>
        <v>0</v>
      </c>
      <c r="N292" s="5"/>
    </row>
    <row r="293" spans="1:14">
      <c r="A293" t="s">
        <v>2272</v>
      </c>
      <c r="C293" s="7"/>
      <c r="D293" t="s">
        <v>1663</v>
      </c>
      <c r="E293">
        <v>18521</v>
      </c>
      <c r="F293" t="s">
        <v>2273</v>
      </c>
      <c r="G293" t="s">
        <v>2273</v>
      </c>
      <c r="J293" s="5"/>
      <c r="L293" s="5">
        <f t="shared" si="4"/>
        <v>0</v>
      </c>
      <c r="N293" s="5"/>
    </row>
    <row r="294" spans="1:14">
      <c r="A294" t="s">
        <v>2283</v>
      </c>
      <c r="C294" s="7"/>
      <c r="D294" t="s">
        <v>1656</v>
      </c>
      <c r="E294" s="7"/>
      <c r="F294" t="s">
        <v>2284</v>
      </c>
      <c r="G294" s="7"/>
      <c r="J294" s="5"/>
      <c r="L294" s="5">
        <f t="shared" si="4"/>
        <v>0</v>
      </c>
      <c r="N294" s="5"/>
    </row>
    <row r="295" spans="1:14">
      <c r="A295" t="s">
        <v>2288</v>
      </c>
      <c r="C295" s="7"/>
      <c r="D295" t="s">
        <v>1656</v>
      </c>
      <c r="E295" s="7"/>
      <c r="F295" t="s">
        <v>2284</v>
      </c>
      <c r="G295" t="s">
        <v>2284</v>
      </c>
      <c r="J295" s="5"/>
      <c r="L295" s="5">
        <f t="shared" si="4"/>
        <v>0</v>
      </c>
      <c r="N295" s="5"/>
    </row>
    <row r="296" spans="1:14">
      <c r="A296" t="s">
        <v>2287</v>
      </c>
      <c r="C296" s="7"/>
      <c r="D296" t="s">
        <v>1656</v>
      </c>
      <c r="E296" s="7"/>
      <c r="F296" t="s">
        <v>2284</v>
      </c>
      <c r="G296" t="s">
        <v>2284</v>
      </c>
      <c r="J296" s="5"/>
      <c r="L296" s="5">
        <f t="shared" si="4"/>
        <v>0</v>
      </c>
      <c r="N296" s="5"/>
    </row>
    <row r="297" spans="1:14">
      <c r="A297" t="s">
        <v>2285</v>
      </c>
      <c r="C297" s="7"/>
      <c r="D297" t="s">
        <v>1656</v>
      </c>
      <c r="E297" s="7"/>
      <c r="F297" t="s">
        <v>2286</v>
      </c>
      <c r="G297" s="7"/>
      <c r="J297" s="5"/>
      <c r="L297" s="5">
        <f t="shared" si="4"/>
        <v>0</v>
      </c>
      <c r="N297" s="5"/>
    </row>
    <row r="298" spans="1:14">
      <c r="A298" t="s">
        <v>2289</v>
      </c>
      <c r="C298" s="7"/>
      <c r="D298" t="s">
        <v>1589</v>
      </c>
      <c r="E298" s="7"/>
      <c r="F298" t="s">
        <v>2290</v>
      </c>
      <c r="G298" s="7"/>
      <c r="J298" s="5"/>
      <c r="L298" s="5">
        <f t="shared" si="4"/>
        <v>0</v>
      </c>
      <c r="N298" s="5"/>
    </row>
    <row r="299" spans="1:14">
      <c r="A299">
        <f>COUNTA(A2:A298)</f>
        <v>297</v>
      </c>
    </row>
  </sheetData>
  <conditionalFormatting sqref="L1:L298 K299:K1048576">
    <cfRule type="cellIs" dxfId="21" priority="3" operator="equal">
      <formula>0</formula>
    </cfRule>
  </conditionalFormatting>
  <conditionalFormatting sqref="M1:N298 L299:M1048576">
    <cfRule type="cellIs" dxfId="20" priority="1" operator="equal">
      <formula>-44816</formula>
    </cfRule>
  </conditionalFormatting>
  <conditionalFormatting sqref="P2">
    <cfRule type="cellIs" dxfId="19" priority="2" operator="equal">
      <formula>0</formula>
    </cfRule>
  </conditionalFormatting>
  <pageMargins left="0.7" right="0.7" top="0.75" bottom="0.75" header="0.3" footer="0.3"/>
  <pageSetup scale="14" fitToHeight="0" orientation="portrait" r:id="rId1"/>
  <tableParts count="1">
    <tablePart r:id="rId2"/>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pageSetUpPr fitToPage="1"/>
  </sheetPr>
  <dimension ref="A1:G79"/>
  <sheetViews>
    <sheetView workbookViewId="0">
      <selection activeCell="A5" sqref="A5"/>
    </sheetView>
  </sheetViews>
  <sheetFormatPr defaultRowHeight="15"/>
  <cols>
    <col min="1" max="1" width="12" customWidth="1"/>
    <col min="2" max="2" width="33.5703125" customWidth="1"/>
    <col min="3" max="3" width="18.7109375" customWidth="1"/>
    <col min="4" max="4" width="61" customWidth="1"/>
    <col min="5" max="5" width="24.28515625" customWidth="1"/>
    <col min="6" max="7" width="72.28515625" customWidth="1"/>
  </cols>
  <sheetData>
    <row r="1" spans="1:7" ht="18">
      <c r="A1" s="337" t="s">
        <v>2316</v>
      </c>
      <c r="B1" s="336"/>
      <c r="C1" s="336"/>
      <c r="D1" s="336"/>
      <c r="E1" s="336"/>
      <c r="F1" s="336"/>
      <c r="G1" s="336"/>
    </row>
    <row r="2" spans="1:7" ht="18">
      <c r="A2" s="337" t="s">
        <v>2317</v>
      </c>
      <c r="B2" s="336"/>
      <c r="C2" s="336"/>
      <c r="D2" s="336"/>
      <c r="E2" s="336"/>
      <c r="F2" s="336"/>
      <c r="G2" s="336"/>
    </row>
    <row r="3" spans="1:7">
      <c r="A3" s="338" t="s">
        <v>2318</v>
      </c>
      <c r="B3" s="336"/>
      <c r="C3" s="336"/>
      <c r="D3" s="336"/>
      <c r="E3" s="336"/>
      <c r="F3" s="336"/>
      <c r="G3" s="336"/>
    </row>
    <row r="5" spans="1:7">
      <c r="B5" s="1" t="s">
        <v>1532</v>
      </c>
      <c r="C5" s="1" t="s">
        <v>1537</v>
      </c>
      <c r="D5" s="1" t="s">
        <v>2312</v>
      </c>
      <c r="E5" s="1" t="s">
        <v>2313</v>
      </c>
      <c r="F5" s="1" t="s">
        <v>1538</v>
      </c>
      <c r="G5" s="1" t="s">
        <v>1539</v>
      </c>
    </row>
    <row r="6" spans="1:7">
      <c r="A6" s="2" t="s">
        <v>2319</v>
      </c>
    </row>
    <row r="7" spans="1:7" ht="23.25">
      <c r="B7" s="3" t="s">
        <v>41</v>
      </c>
      <c r="C7" s="3"/>
      <c r="D7" s="3" t="s">
        <v>2314</v>
      </c>
      <c r="E7" s="3"/>
      <c r="F7" s="3" t="s">
        <v>1551</v>
      </c>
      <c r="G7" s="3" t="s">
        <v>1551</v>
      </c>
    </row>
    <row r="9" spans="1:7">
      <c r="A9" s="2" t="s">
        <v>2320</v>
      </c>
    </row>
    <row r="10" spans="1:7" ht="23.25">
      <c r="B10" s="3" t="s">
        <v>1600</v>
      </c>
      <c r="C10" s="3"/>
      <c r="D10" s="3"/>
      <c r="E10" s="3"/>
      <c r="F10" s="3" t="s">
        <v>1601</v>
      </c>
      <c r="G10" s="3" t="s">
        <v>1601</v>
      </c>
    </row>
    <row r="11" spans="1:7" ht="23.25">
      <c r="B11" s="3" t="s">
        <v>1105</v>
      </c>
      <c r="C11" s="3"/>
      <c r="D11" s="3" t="s">
        <v>1852</v>
      </c>
      <c r="E11" s="3" t="s">
        <v>1596</v>
      </c>
      <c r="F11" s="3" t="s">
        <v>1853</v>
      </c>
      <c r="G11" s="3" t="s">
        <v>1853</v>
      </c>
    </row>
    <row r="13" spans="1:7">
      <c r="A13" s="2" t="s">
        <v>2321</v>
      </c>
    </row>
    <row r="14" spans="1:7" ht="23.25">
      <c r="B14" s="3" t="s">
        <v>126</v>
      </c>
      <c r="C14" s="3"/>
      <c r="D14" s="3" t="s">
        <v>1778</v>
      </c>
      <c r="E14" s="3"/>
      <c r="F14" s="3" t="s">
        <v>1779</v>
      </c>
      <c r="G14" s="3" t="s">
        <v>1779</v>
      </c>
    </row>
    <row r="15" spans="1:7" ht="23.25">
      <c r="B15" s="3" t="s">
        <v>1945</v>
      </c>
      <c r="C15" s="3" t="s">
        <v>1946</v>
      </c>
      <c r="D15" s="3" t="s">
        <v>1947</v>
      </c>
      <c r="E15" s="3" t="s">
        <v>1945</v>
      </c>
      <c r="F15" s="3" t="s">
        <v>1948</v>
      </c>
      <c r="G15" s="3" t="s">
        <v>1948</v>
      </c>
    </row>
    <row r="17" spans="1:7">
      <c r="A17" s="2" t="s">
        <v>2322</v>
      </c>
    </row>
    <row r="18" spans="1:7" ht="23.25">
      <c r="B18" s="3" t="s">
        <v>96</v>
      </c>
      <c r="C18" s="3"/>
      <c r="D18" s="3" t="s">
        <v>1658</v>
      </c>
      <c r="E18" s="3" t="s">
        <v>1596</v>
      </c>
      <c r="F18" s="3" t="s">
        <v>1659</v>
      </c>
      <c r="G18" s="3" t="s">
        <v>1659</v>
      </c>
    </row>
    <row r="20" spans="1:7">
      <c r="A20" s="2" t="s">
        <v>2323</v>
      </c>
    </row>
    <row r="21" spans="1:7" ht="34.5">
      <c r="B21" s="3" t="s">
        <v>1578</v>
      </c>
      <c r="C21" s="3"/>
      <c r="D21" s="3" t="s">
        <v>1579</v>
      </c>
      <c r="E21" s="3"/>
      <c r="F21" s="3" t="s">
        <v>1580</v>
      </c>
      <c r="G21" s="3" t="s">
        <v>1580</v>
      </c>
    </row>
    <row r="23" spans="1:7">
      <c r="A23" s="2" t="s">
        <v>2324</v>
      </c>
    </row>
    <row r="24" spans="1:7" ht="34.5">
      <c r="B24" s="3" t="s">
        <v>1732</v>
      </c>
      <c r="C24" s="3" t="s">
        <v>1733</v>
      </c>
      <c r="D24" s="3" t="s">
        <v>1734</v>
      </c>
      <c r="E24" s="3" t="s">
        <v>1735</v>
      </c>
      <c r="F24" s="3" t="s">
        <v>1736</v>
      </c>
      <c r="G24" s="3" t="s">
        <v>1736</v>
      </c>
    </row>
    <row r="25" spans="1:7" ht="23.25">
      <c r="B25" s="3" t="s">
        <v>166</v>
      </c>
      <c r="C25" s="3"/>
      <c r="D25" s="3" t="s">
        <v>1863</v>
      </c>
      <c r="E25" s="3"/>
      <c r="F25" s="3" t="s">
        <v>1864</v>
      </c>
      <c r="G25" s="3" t="s">
        <v>1864</v>
      </c>
    </row>
    <row r="27" spans="1:7">
      <c r="A27" s="2" t="s">
        <v>2325</v>
      </c>
    </row>
    <row r="28" spans="1:7" ht="34.5">
      <c r="B28" s="3" t="s">
        <v>109</v>
      </c>
      <c r="C28" s="3"/>
      <c r="D28" s="3" t="s">
        <v>1742</v>
      </c>
      <c r="E28" s="3"/>
      <c r="F28" s="3" t="s">
        <v>1743</v>
      </c>
      <c r="G28" s="3" t="s">
        <v>1743</v>
      </c>
    </row>
    <row r="30" spans="1:7">
      <c r="A30" s="2" t="s">
        <v>2326</v>
      </c>
    </row>
    <row r="31" spans="1:7" ht="23.25">
      <c r="B31" s="3" t="s">
        <v>1605</v>
      </c>
      <c r="C31" s="3"/>
      <c r="D31" s="3" t="s">
        <v>1606</v>
      </c>
      <c r="E31" s="3"/>
      <c r="F31" s="3" t="s">
        <v>1607</v>
      </c>
      <c r="G31" s="3" t="s">
        <v>1607</v>
      </c>
    </row>
    <row r="32" spans="1:7" ht="23.25">
      <c r="B32" s="3" t="s">
        <v>127</v>
      </c>
      <c r="C32" s="3"/>
      <c r="D32" s="3" t="s">
        <v>1785</v>
      </c>
      <c r="E32" s="3"/>
      <c r="F32" s="3" t="s">
        <v>1786</v>
      </c>
      <c r="G32" s="3"/>
    </row>
    <row r="34" spans="1:7">
      <c r="A34" s="2" t="s">
        <v>2327</v>
      </c>
    </row>
    <row r="35" spans="1:7" ht="23.25">
      <c r="B35" s="3" t="s">
        <v>1987</v>
      </c>
      <c r="C35" s="3"/>
      <c r="D35" s="3" t="s">
        <v>1988</v>
      </c>
      <c r="E35" s="3"/>
      <c r="F35" s="3" t="s">
        <v>1989</v>
      </c>
      <c r="G35" s="3" t="s">
        <v>1989</v>
      </c>
    </row>
    <row r="37" spans="1:7">
      <c r="A37" s="2" t="s">
        <v>2328</v>
      </c>
    </row>
    <row r="38" spans="1:7" ht="34.5">
      <c r="B38" s="3" t="s">
        <v>1355</v>
      </c>
      <c r="C38" s="3"/>
      <c r="D38" s="3"/>
      <c r="E38" s="3"/>
      <c r="F38" s="3" t="s">
        <v>2049</v>
      </c>
      <c r="G38" s="3" t="s">
        <v>2049</v>
      </c>
    </row>
    <row r="40" spans="1:7">
      <c r="A40" s="2" t="s">
        <v>2329</v>
      </c>
    </row>
    <row r="41" spans="1:7" ht="23.25">
      <c r="B41" s="3" t="s">
        <v>1939</v>
      </c>
      <c r="C41" s="3"/>
      <c r="D41" s="3" t="s">
        <v>1940</v>
      </c>
      <c r="E41" s="3"/>
      <c r="F41" s="3" t="s">
        <v>1941</v>
      </c>
      <c r="G41" s="3" t="s">
        <v>1941</v>
      </c>
    </row>
    <row r="43" spans="1:7">
      <c r="A43" s="2" t="s">
        <v>2330</v>
      </c>
    </row>
    <row r="44" spans="1:7" ht="34.5">
      <c r="B44" s="3" t="s">
        <v>2035</v>
      </c>
      <c r="C44" s="3" t="s">
        <v>2036</v>
      </c>
      <c r="D44" s="3" t="s">
        <v>2037</v>
      </c>
      <c r="E44" s="3" t="s">
        <v>1596</v>
      </c>
      <c r="F44" s="3" t="s">
        <v>2038</v>
      </c>
      <c r="G44" s="3" t="s">
        <v>2038</v>
      </c>
    </row>
    <row r="46" spans="1:7">
      <c r="A46" s="2" t="s">
        <v>2331</v>
      </c>
    </row>
    <row r="47" spans="1:7" ht="23.25">
      <c r="B47" s="3" t="s">
        <v>1569</v>
      </c>
      <c r="C47" s="3"/>
      <c r="D47" s="3" t="s">
        <v>1570</v>
      </c>
      <c r="E47" s="3"/>
      <c r="F47" s="3" t="s">
        <v>1572</v>
      </c>
      <c r="G47" s="3" t="s">
        <v>1572</v>
      </c>
    </row>
    <row r="48" spans="1:7" ht="23.25">
      <c r="B48" s="3" t="s">
        <v>620</v>
      </c>
      <c r="C48" s="3"/>
      <c r="D48" s="3" t="s">
        <v>1637</v>
      </c>
      <c r="E48" s="3"/>
      <c r="F48" s="3" t="s">
        <v>1638</v>
      </c>
      <c r="G48" s="3" t="s">
        <v>1638</v>
      </c>
    </row>
    <row r="49" spans="1:7" ht="23.25">
      <c r="B49" s="3" t="s">
        <v>1712</v>
      </c>
      <c r="C49" s="3"/>
      <c r="D49" s="3"/>
      <c r="E49" s="3"/>
      <c r="F49" s="3" t="s">
        <v>1713</v>
      </c>
      <c r="G49" s="3" t="s">
        <v>1713</v>
      </c>
    </row>
    <row r="50" spans="1:7" ht="23.25">
      <c r="B50" s="3" t="s">
        <v>1789</v>
      </c>
      <c r="C50" s="3"/>
      <c r="D50" s="3" t="s">
        <v>1790</v>
      </c>
      <c r="E50" s="3" t="s">
        <v>1791</v>
      </c>
      <c r="F50" s="3" t="s">
        <v>1792</v>
      </c>
      <c r="G50" s="3" t="s">
        <v>1792</v>
      </c>
    </row>
    <row r="51" spans="1:7" ht="45.75">
      <c r="B51" s="3" t="s">
        <v>1867</v>
      </c>
      <c r="C51" s="3"/>
      <c r="D51" s="3" t="s">
        <v>1552</v>
      </c>
      <c r="E51" s="3"/>
      <c r="F51" s="3" t="s">
        <v>1868</v>
      </c>
      <c r="G51" s="3" t="s">
        <v>1868</v>
      </c>
    </row>
    <row r="52" spans="1:7" ht="23.25">
      <c r="B52" s="3" t="s">
        <v>1225</v>
      </c>
      <c r="C52" s="3"/>
      <c r="D52" s="3" t="s">
        <v>1966</v>
      </c>
      <c r="E52" s="3" t="s">
        <v>1596</v>
      </c>
      <c r="F52" s="3" t="s">
        <v>1967</v>
      </c>
      <c r="G52" s="3" t="s">
        <v>1967</v>
      </c>
    </row>
    <row r="53" spans="1:7" ht="23.25">
      <c r="B53" s="3" t="s">
        <v>553</v>
      </c>
      <c r="C53" s="3"/>
      <c r="D53" s="3" t="s">
        <v>2032</v>
      </c>
      <c r="E53" s="3" t="s">
        <v>553</v>
      </c>
      <c r="F53" s="3" t="s">
        <v>2027</v>
      </c>
      <c r="G53" s="3" t="s">
        <v>2027</v>
      </c>
    </row>
    <row r="54" spans="1:7" ht="45.75">
      <c r="B54" s="3" t="s">
        <v>2294</v>
      </c>
      <c r="C54" s="3"/>
      <c r="D54" s="3" t="s">
        <v>2295</v>
      </c>
      <c r="E54" s="3"/>
      <c r="F54" s="3" t="s">
        <v>2296</v>
      </c>
      <c r="G54" s="3" t="s">
        <v>2296</v>
      </c>
    </row>
    <row r="56" spans="1:7">
      <c r="A56" s="2" t="s">
        <v>2332</v>
      </c>
    </row>
    <row r="57" spans="1:7" ht="34.5">
      <c r="B57" s="3" t="s">
        <v>2055</v>
      </c>
      <c r="C57" s="3"/>
      <c r="D57" s="3" t="s">
        <v>2056</v>
      </c>
      <c r="E57" s="3"/>
      <c r="F57" s="3" t="s">
        <v>2057</v>
      </c>
      <c r="G57" s="3" t="s">
        <v>2057</v>
      </c>
    </row>
    <row r="59" spans="1:7">
      <c r="A59" s="2" t="s">
        <v>2333</v>
      </c>
    </row>
    <row r="60" spans="1:7" ht="23.25">
      <c r="B60" s="3" t="s">
        <v>833</v>
      </c>
      <c r="C60" s="3"/>
      <c r="D60" s="3" t="s">
        <v>1559</v>
      </c>
      <c r="E60" s="3" t="s">
        <v>833</v>
      </c>
      <c r="F60" s="3" t="s">
        <v>1560</v>
      </c>
      <c r="G60" s="3" t="s">
        <v>1560</v>
      </c>
    </row>
    <row r="61" spans="1:7" ht="23.25">
      <c r="B61" s="3" t="s">
        <v>1843</v>
      </c>
      <c r="C61" s="3" t="s">
        <v>1844</v>
      </c>
      <c r="D61" s="3" t="s">
        <v>1845</v>
      </c>
      <c r="E61" s="3"/>
      <c r="F61" s="3" t="s">
        <v>1846</v>
      </c>
      <c r="G61" s="3" t="s">
        <v>1846</v>
      </c>
    </row>
    <row r="63" spans="1:7">
      <c r="A63" s="2" t="s">
        <v>2334</v>
      </c>
    </row>
    <row r="64" spans="1:7" ht="34.5">
      <c r="B64" s="3" t="s">
        <v>1675</v>
      </c>
      <c r="C64" s="3"/>
      <c r="D64" s="3" t="s">
        <v>1676</v>
      </c>
      <c r="E64" s="3"/>
      <c r="F64" s="3" t="s">
        <v>1677</v>
      </c>
      <c r="G64" s="3" t="s">
        <v>1677</v>
      </c>
    </row>
    <row r="66" spans="1:7">
      <c r="A66" s="2" t="s">
        <v>2335</v>
      </c>
    </row>
    <row r="67" spans="1:7" ht="23.25">
      <c r="B67" s="3" t="s">
        <v>107</v>
      </c>
      <c r="C67" s="3"/>
      <c r="D67" s="3"/>
      <c r="E67" s="3"/>
      <c r="F67" s="3" t="s">
        <v>1740</v>
      </c>
      <c r="G67" s="3" t="s">
        <v>1740</v>
      </c>
    </row>
    <row r="68" spans="1:7" ht="34.5">
      <c r="B68" s="3" t="s">
        <v>1861</v>
      </c>
      <c r="C68" s="3"/>
      <c r="D68" s="3"/>
      <c r="E68" s="3"/>
      <c r="F68" s="3" t="s">
        <v>1862</v>
      </c>
      <c r="G68" s="3" t="s">
        <v>1862</v>
      </c>
    </row>
    <row r="70" spans="1:7">
      <c r="A70" s="2" t="s">
        <v>2336</v>
      </c>
    </row>
    <row r="71" spans="1:7">
      <c r="B71" s="3" t="s">
        <v>1612</v>
      </c>
      <c r="C71" s="3"/>
      <c r="D71" s="3" t="s">
        <v>1613</v>
      </c>
      <c r="E71" s="3"/>
      <c r="F71" s="3" t="s">
        <v>1614</v>
      </c>
      <c r="G71" s="3" t="s">
        <v>1614</v>
      </c>
    </row>
    <row r="72" spans="1:7">
      <c r="B72" s="3" t="s">
        <v>1699</v>
      </c>
      <c r="C72" s="3"/>
      <c r="D72" s="3"/>
      <c r="E72" s="3"/>
      <c r="F72" s="3"/>
      <c r="G72" s="3"/>
    </row>
    <row r="73" spans="1:7" ht="45.75">
      <c r="B73" s="3" t="s">
        <v>1803</v>
      </c>
      <c r="C73" s="3"/>
      <c r="D73" s="3"/>
      <c r="E73" s="3"/>
      <c r="F73" s="3" t="s">
        <v>1804</v>
      </c>
      <c r="G73" s="3" t="s">
        <v>1804</v>
      </c>
    </row>
    <row r="74" spans="1:7">
      <c r="B74" s="3" t="s">
        <v>2053</v>
      </c>
      <c r="C74" s="3"/>
      <c r="D74" s="3"/>
      <c r="E74" s="3"/>
      <c r="F74" s="3"/>
      <c r="G74" s="3"/>
    </row>
    <row r="75" spans="1:7">
      <c r="B75" s="3" t="s">
        <v>1429</v>
      </c>
      <c r="C75" s="3"/>
      <c r="D75" s="3" t="s">
        <v>2066</v>
      </c>
      <c r="E75" s="3" t="s">
        <v>1429</v>
      </c>
      <c r="F75" s="3"/>
      <c r="G75" s="3"/>
    </row>
    <row r="77" spans="1:7">
      <c r="B77">
        <f>COUNTA(B7:B75)</f>
        <v>35</v>
      </c>
    </row>
    <row r="79" spans="1:7">
      <c r="A79" s="335" t="s">
        <v>2337</v>
      </c>
      <c r="B79" s="336"/>
      <c r="C79" s="336"/>
      <c r="D79" s="336"/>
      <c r="E79" s="336"/>
      <c r="F79" s="336"/>
      <c r="G79" s="336"/>
    </row>
  </sheetData>
  <mergeCells count="4">
    <mergeCell ref="A79:G79"/>
    <mergeCell ref="A1:G1"/>
    <mergeCell ref="A2:G2"/>
    <mergeCell ref="A3:G3"/>
  </mergeCells>
  <pageMargins left="0.7" right="0.7" top="0.75" bottom="0.75" header="0.3" footer="0.3"/>
  <pageSetup scale="30" fitToHeight="0"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pageSetUpPr fitToPage="1"/>
  </sheetPr>
  <dimension ref="A1:G395"/>
  <sheetViews>
    <sheetView workbookViewId="0">
      <selection activeCell="A5" sqref="A5"/>
    </sheetView>
  </sheetViews>
  <sheetFormatPr defaultRowHeight="15"/>
  <cols>
    <col min="1" max="1" width="21.42578125" customWidth="1"/>
    <col min="2" max="2" width="72.28515625" customWidth="1"/>
    <col min="3" max="3" width="19.7109375" customWidth="1"/>
    <col min="4" max="4" width="67.7109375" customWidth="1"/>
    <col min="5" max="5" width="24.28515625" customWidth="1"/>
    <col min="6" max="7" width="61.7109375" customWidth="1"/>
  </cols>
  <sheetData>
    <row r="1" spans="1:7" ht="18">
      <c r="A1" s="337" t="s">
        <v>2338</v>
      </c>
      <c r="B1" s="336"/>
      <c r="C1" s="336"/>
      <c r="D1" s="336"/>
      <c r="E1" s="336"/>
      <c r="F1" s="336"/>
      <c r="G1" s="336"/>
    </row>
    <row r="2" spans="1:7" ht="18">
      <c r="A2" s="337" t="s">
        <v>2339</v>
      </c>
      <c r="B2" s="336"/>
      <c r="C2" s="336"/>
      <c r="D2" s="336"/>
      <c r="E2" s="336"/>
      <c r="F2" s="336"/>
      <c r="G2" s="336"/>
    </row>
    <row r="3" spans="1:7">
      <c r="A3" s="338" t="s">
        <v>2318</v>
      </c>
      <c r="B3" s="336"/>
      <c r="C3" s="336"/>
      <c r="D3" s="336"/>
      <c r="E3" s="336"/>
      <c r="F3" s="336"/>
      <c r="G3" s="336"/>
    </row>
    <row r="5" spans="1:7">
      <c r="B5" s="1" t="s">
        <v>1</v>
      </c>
      <c r="C5" s="1" t="s">
        <v>1537</v>
      </c>
      <c r="D5" s="1" t="s">
        <v>2312</v>
      </c>
      <c r="E5" s="1" t="s">
        <v>2313</v>
      </c>
      <c r="F5" s="1" t="s">
        <v>1538</v>
      </c>
      <c r="G5" s="1" t="s">
        <v>1539</v>
      </c>
    </row>
    <row r="6" spans="1:7">
      <c r="A6" s="2" t="s">
        <v>2340</v>
      </c>
    </row>
    <row r="7" spans="1:7" ht="34.5">
      <c r="B7" s="3" t="s">
        <v>1761</v>
      </c>
      <c r="C7" s="3" t="s">
        <v>1762</v>
      </c>
      <c r="D7" s="3" t="s">
        <v>1552</v>
      </c>
      <c r="E7" s="3"/>
      <c r="F7" s="3" t="s">
        <v>1763</v>
      </c>
      <c r="G7" s="3" t="s">
        <v>1763</v>
      </c>
    </row>
    <row r="9" spans="1:7">
      <c r="A9" s="2" t="s">
        <v>2319</v>
      </c>
    </row>
    <row r="10" spans="1:7" ht="34.5">
      <c r="B10" s="3" t="s">
        <v>1544</v>
      </c>
      <c r="C10" s="3"/>
      <c r="D10" s="3" t="s">
        <v>1545</v>
      </c>
      <c r="E10" s="3"/>
      <c r="F10" s="3" t="s">
        <v>1547</v>
      </c>
      <c r="G10" s="3" t="s">
        <v>1547</v>
      </c>
    </row>
    <row r="12" spans="1:7">
      <c r="A12" s="2" t="s">
        <v>2320</v>
      </c>
    </row>
    <row r="13" spans="1:7" ht="23.25">
      <c r="B13" s="3" t="s">
        <v>1585</v>
      </c>
      <c r="C13" s="3"/>
      <c r="D13" s="3" t="s">
        <v>1552</v>
      </c>
      <c r="E13" s="3"/>
      <c r="F13" s="3" t="s">
        <v>1586</v>
      </c>
      <c r="G13" s="3" t="s">
        <v>1586</v>
      </c>
    </row>
    <row r="14" spans="1:7" ht="23.25">
      <c r="B14" s="3" t="s">
        <v>1598</v>
      </c>
      <c r="C14" s="3"/>
      <c r="D14" s="3" t="s">
        <v>1541</v>
      </c>
      <c r="E14" s="3" t="s">
        <v>1596</v>
      </c>
      <c r="F14" s="3" t="s">
        <v>1599</v>
      </c>
      <c r="G14" s="3"/>
    </row>
    <row r="15" spans="1:7" ht="23.25">
      <c r="B15" s="3" t="s">
        <v>1602</v>
      </c>
      <c r="C15" s="3"/>
      <c r="D15" s="3" t="s">
        <v>1603</v>
      </c>
      <c r="E15" s="3"/>
      <c r="F15" s="3" t="s">
        <v>1604</v>
      </c>
      <c r="G15" s="3" t="s">
        <v>1604</v>
      </c>
    </row>
    <row r="16" spans="1:7" ht="34.5">
      <c r="B16" s="3" t="s">
        <v>1704</v>
      </c>
      <c r="C16" s="3"/>
      <c r="D16" s="3"/>
      <c r="E16" s="3" t="s">
        <v>1705</v>
      </c>
      <c r="F16" s="3" t="s">
        <v>1706</v>
      </c>
      <c r="G16" s="3" t="s">
        <v>1706</v>
      </c>
    </row>
    <row r="17" spans="1:7" ht="23.25">
      <c r="B17" s="3" t="s">
        <v>1709</v>
      </c>
      <c r="C17" s="3"/>
      <c r="D17" s="3"/>
      <c r="E17" s="3" t="s">
        <v>1710</v>
      </c>
      <c r="F17" s="3" t="s">
        <v>1711</v>
      </c>
      <c r="G17" s="3"/>
    </row>
    <row r="19" spans="1:7">
      <c r="A19" s="2" t="s">
        <v>2341</v>
      </c>
    </row>
    <row r="20" spans="1:7" ht="34.5">
      <c r="B20" s="3" t="s">
        <v>1856</v>
      </c>
      <c r="C20" s="3"/>
      <c r="D20" s="3" t="s">
        <v>1857</v>
      </c>
      <c r="E20" s="3"/>
      <c r="F20" s="3" t="s">
        <v>1858</v>
      </c>
      <c r="G20" s="3" t="s">
        <v>1858</v>
      </c>
    </row>
    <row r="22" spans="1:7">
      <c r="A22" s="2" t="s">
        <v>2342</v>
      </c>
    </row>
    <row r="23" spans="1:7" ht="34.5">
      <c r="B23" s="3" t="s">
        <v>1960</v>
      </c>
      <c r="C23" s="3"/>
      <c r="D23" s="3" t="s">
        <v>1552</v>
      </c>
      <c r="E23" s="3"/>
      <c r="F23" s="3" t="s">
        <v>1961</v>
      </c>
      <c r="G23" s="3" t="s">
        <v>1961</v>
      </c>
    </row>
    <row r="25" spans="1:7">
      <c r="A25" s="2" t="s">
        <v>2321</v>
      </c>
    </row>
    <row r="26" spans="1:7" ht="34.5">
      <c r="B26" s="3" t="s">
        <v>909</v>
      </c>
      <c r="C26" s="3"/>
      <c r="D26" s="3" t="s">
        <v>1654</v>
      </c>
      <c r="E26" s="3"/>
      <c r="F26" s="3" t="s">
        <v>1655</v>
      </c>
      <c r="G26" s="3" t="s">
        <v>1655</v>
      </c>
    </row>
    <row r="27" spans="1:7" ht="23.25">
      <c r="B27" s="3" t="s">
        <v>1688</v>
      </c>
      <c r="C27" s="3"/>
      <c r="D27" s="3"/>
      <c r="E27" s="3" t="s">
        <v>1596</v>
      </c>
      <c r="F27" s="3" t="s">
        <v>1689</v>
      </c>
      <c r="G27" s="3" t="s">
        <v>1689</v>
      </c>
    </row>
    <row r="28" spans="1:7" ht="34.5">
      <c r="B28" s="3" t="s">
        <v>928</v>
      </c>
      <c r="C28" s="3" t="s">
        <v>1690</v>
      </c>
      <c r="D28" s="3" t="s">
        <v>1552</v>
      </c>
      <c r="E28" s="3" t="s">
        <v>1691</v>
      </c>
      <c r="F28" s="3" t="s">
        <v>1692</v>
      </c>
      <c r="G28" s="3" t="s">
        <v>1692</v>
      </c>
    </row>
    <row r="29" spans="1:7" ht="34.5">
      <c r="B29" s="3" t="s">
        <v>984</v>
      </c>
      <c r="C29" s="3"/>
      <c r="D29" s="3" t="s">
        <v>1750</v>
      </c>
      <c r="E29" s="3"/>
      <c r="F29" s="3" t="s">
        <v>1751</v>
      </c>
      <c r="G29" s="3" t="s">
        <v>1751</v>
      </c>
    </row>
    <row r="30" spans="1:7" ht="34.5">
      <c r="B30" s="3" t="s">
        <v>1773</v>
      </c>
      <c r="C30" s="3"/>
      <c r="D30" s="3"/>
      <c r="E30" s="3"/>
      <c r="F30" s="3" t="s">
        <v>1774</v>
      </c>
      <c r="G30" s="3" t="s">
        <v>1774</v>
      </c>
    </row>
    <row r="31" spans="1:7" ht="34.5">
      <c r="B31" s="3" t="s">
        <v>1780</v>
      </c>
      <c r="C31" s="3"/>
      <c r="D31" s="3" t="s">
        <v>1781</v>
      </c>
      <c r="E31" s="3"/>
      <c r="F31" s="3" t="s">
        <v>1782</v>
      </c>
      <c r="G31" s="3" t="s">
        <v>1782</v>
      </c>
    </row>
    <row r="32" spans="1:7" ht="34.5">
      <c r="B32" s="3" t="s">
        <v>1800</v>
      </c>
      <c r="C32" s="3"/>
      <c r="D32" s="3" t="s">
        <v>1801</v>
      </c>
      <c r="E32" s="3"/>
      <c r="F32" s="3" t="s">
        <v>1802</v>
      </c>
      <c r="G32" s="3" t="s">
        <v>1802</v>
      </c>
    </row>
    <row r="33" spans="1:7" ht="34.5">
      <c r="B33" s="3" t="s">
        <v>1817</v>
      </c>
      <c r="C33" s="3" t="s">
        <v>1818</v>
      </c>
      <c r="D33" s="3" t="s">
        <v>1819</v>
      </c>
      <c r="E33" s="3" t="s">
        <v>1820</v>
      </c>
      <c r="F33" s="3" t="s">
        <v>1821</v>
      </c>
      <c r="G33" s="3" t="s">
        <v>1821</v>
      </c>
    </row>
    <row r="34" spans="1:7" ht="23.25">
      <c r="B34" s="3" t="s">
        <v>1086</v>
      </c>
      <c r="C34" s="3" t="s">
        <v>1837</v>
      </c>
      <c r="D34" s="3" t="s">
        <v>1552</v>
      </c>
      <c r="E34" s="3"/>
      <c r="F34" s="3" t="s">
        <v>1838</v>
      </c>
      <c r="G34" s="3"/>
    </row>
    <row r="35" spans="1:7" ht="23.25">
      <c r="B35" s="3" t="s">
        <v>1920</v>
      </c>
      <c r="C35" s="3"/>
      <c r="D35" s="3" t="s">
        <v>1541</v>
      </c>
      <c r="E35" s="3" t="s">
        <v>1596</v>
      </c>
      <c r="F35" s="3" t="s">
        <v>1921</v>
      </c>
      <c r="G35" s="3"/>
    </row>
    <row r="36" spans="1:7" ht="34.5">
      <c r="B36" s="3" t="s">
        <v>1962</v>
      </c>
      <c r="C36" s="3"/>
      <c r="D36" s="3" t="s">
        <v>1552</v>
      </c>
      <c r="E36" s="3"/>
      <c r="F36" s="3" t="s">
        <v>1963</v>
      </c>
      <c r="G36" s="3" t="s">
        <v>1963</v>
      </c>
    </row>
    <row r="37" spans="1:7" ht="34.5">
      <c r="B37" s="3" t="s">
        <v>2044</v>
      </c>
      <c r="C37" s="3"/>
      <c r="D37" s="3" t="s">
        <v>1552</v>
      </c>
      <c r="E37" s="3"/>
      <c r="F37" s="3" t="s">
        <v>2045</v>
      </c>
      <c r="G37" s="3" t="s">
        <v>2045</v>
      </c>
    </row>
    <row r="38" spans="1:7" ht="23.25">
      <c r="B38" s="3" t="s">
        <v>2274</v>
      </c>
      <c r="C38" s="3"/>
      <c r="D38" s="3" t="s">
        <v>2275</v>
      </c>
      <c r="E38" s="3" t="s">
        <v>1596</v>
      </c>
      <c r="F38" s="3" t="s">
        <v>2276</v>
      </c>
      <c r="G38" s="3"/>
    </row>
    <row r="39" spans="1:7" ht="34.5">
      <c r="B39" s="3" t="s">
        <v>1493</v>
      </c>
      <c r="C39" s="3"/>
      <c r="D39" s="3" t="s">
        <v>2277</v>
      </c>
      <c r="E39" s="3"/>
      <c r="F39" s="3" t="s">
        <v>2278</v>
      </c>
      <c r="G39" s="3" t="s">
        <v>2278</v>
      </c>
    </row>
    <row r="40" spans="1:7" ht="34.5">
      <c r="B40" s="3" t="s">
        <v>1516</v>
      </c>
      <c r="C40" s="3"/>
      <c r="D40" s="3" t="s">
        <v>2297</v>
      </c>
      <c r="E40" s="3"/>
      <c r="F40" s="3" t="s">
        <v>2298</v>
      </c>
      <c r="G40" s="3" t="s">
        <v>2298</v>
      </c>
    </row>
    <row r="42" spans="1:7">
      <c r="A42" s="2" t="s">
        <v>2343</v>
      </c>
    </row>
    <row r="43" spans="1:7" ht="23.25">
      <c r="B43" s="3" t="s">
        <v>1595</v>
      </c>
      <c r="C43" s="3"/>
      <c r="D43" s="3"/>
      <c r="E43" s="3" t="s">
        <v>1596</v>
      </c>
      <c r="F43" s="3" t="s">
        <v>1597</v>
      </c>
      <c r="G43" s="3"/>
    </row>
    <row r="44" spans="1:7" ht="23.25">
      <c r="B44" s="3" t="s">
        <v>1011</v>
      </c>
      <c r="C44" s="3"/>
      <c r="D44" s="3" t="s">
        <v>1541</v>
      </c>
      <c r="E44" s="3"/>
      <c r="F44" s="3" t="s">
        <v>1799</v>
      </c>
      <c r="G44" s="3" t="s">
        <v>1799</v>
      </c>
    </row>
    <row r="45" spans="1:7" ht="34.5">
      <c r="B45" s="3" t="s">
        <v>1878</v>
      </c>
      <c r="C45" s="3"/>
      <c r="D45" s="3" t="s">
        <v>1541</v>
      </c>
      <c r="E45" s="3" t="s">
        <v>1596</v>
      </c>
      <c r="F45" s="3" t="s">
        <v>1879</v>
      </c>
      <c r="G45" s="3" t="s">
        <v>1879</v>
      </c>
    </row>
    <row r="46" spans="1:7" ht="23.25">
      <c r="B46" s="3" t="s">
        <v>1141</v>
      </c>
      <c r="C46" s="3"/>
      <c r="D46" s="3" t="s">
        <v>1552</v>
      </c>
      <c r="E46" s="3"/>
      <c r="F46" s="3" t="s">
        <v>1888</v>
      </c>
      <c r="G46" s="3" t="s">
        <v>1888</v>
      </c>
    </row>
    <row r="48" spans="1:7">
      <c r="A48" s="2" t="s">
        <v>2344</v>
      </c>
    </row>
    <row r="49" spans="1:7" ht="45.75">
      <c r="B49" s="3" t="s">
        <v>1935</v>
      </c>
      <c r="C49" s="3" t="s">
        <v>1936</v>
      </c>
      <c r="D49" s="3" t="s">
        <v>1937</v>
      </c>
      <c r="E49" s="3"/>
      <c r="F49" s="3" t="s">
        <v>1938</v>
      </c>
      <c r="G49" s="3" t="s">
        <v>1938</v>
      </c>
    </row>
    <row r="51" spans="1:7">
      <c r="A51" s="2" t="s">
        <v>2345</v>
      </c>
    </row>
    <row r="52" spans="1:7" ht="23.25">
      <c r="B52" s="3" t="s">
        <v>1627</v>
      </c>
      <c r="C52" s="3"/>
      <c r="D52" s="3" t="s">
        <v>1628</v>
      </c>
      <c r="E52" s="3"/>
      <c r="F52" s="3" t="s">
        <v>1629</v>
      </c>
      <c r="G52" s="3" t="s">
        <v>1629</v>
      </c>
    </row>
    <row r="54" spans="1:7">
      <c r="A54" s="2" t="s">
        <v>2346</v>
      </c>
    </row>
    <row r="55" spans="1:7" ht="34.5">
      <c r="B55" s="3" t="s">
        <v>2077</v>
      </c>
      <c r="C55" s="3"/>
      <c r="D55" s="3" t="s">
        <v>1663</v>
      </c>
      <c r="E55" s="3" t="s">
        <v>2069</v>
      </c>
      <c r="F55" s="3" t="s">
        <v>2078</v>
      </c>
      <c r="G55" s="3"/>
    </row>
    <row r="57" spans="1:7">
      <c r="A57" s="2" t="s">
        <v>2322</v>
      </c>
    </row>
    <row r="58" spans="1:7" ht="34.5">
      <c r="B58" s="3" t="s">
        <v>96</v>
      </c>
      <c r="C58" s="3"/>
      <c r="D58" s="3" t="s">
        <v>1541</v>
      </c>
      <c r="E58" s="3" t="s">
        <v>1596</v>
      </c>
      <c r="F58" s="3" t="s">
        <v>1660</v>
      </c>
      <c r="G58" s="3" t="s">
        <v>1660</v>
      </c>
    </row>
    <row r="59" spans="1:7" ht="34.5">
      <c r="B59" s="3" t="s">
        <v>2033</v>
      </c>
      <c r="C59" s="3"/>
      <c r="D59" s="3" t="s">
        <v>1541</v>
      </c>
      <c r="E59" s="3"/>
      <c r="F59" s="3" t="s">
        <v>2034</v>
      </c>
      <c r="G59" s="3" t="s">
        <v>2034</v>
      </c>
    </row>
    <row r="61" spans="1:7">
      <c r="A61" s="2" t="s">
        <v>2324</v>
      </c>
    </row>
    <row r="62" spans="1:7" ht="34.5">
      <c r="B62" s="3" t="s">
        <v>1582</v>
      </c>
      <c r="C62" s="3" t="s">
        <v>1583</v>
      </c>
      <c r="D62" s="3" t="s">
        <v>1552</v>
      </c>
      <c r="E62" s="3"/>
      <c r="F62" s="3" t="s">
        <v>1584</v>
      </c>
      <c r="G62" s="3" t="s">
        <v>1584</v>
      </c>
    </row>
    <row r="63" spans="1:7" ht="23.25">
      <c r="B63" s="3" t="s">
        <v>905</v>
      </c>
      <c r="C63" s="3"/>
      <c r="D63" s="3" t="s">
        <v>1652</v>
      </c>
      <c r="E63" s="3"/>
      <c r="F63" s="3" t="s">
        <v>1653</v>
      </c>
      <c r="G63" s="3" t="s">
        <v>1653</v>
      </c>
    </row>
    <row r="64" spans="1:7" ht="34.5">
      <c r="B64" s="3" t="s">
        <v>1707</v>
      </c>
      <c r="C64" s="3"/>
      <c r="D64" s="3" t="s">
        <v>1663</v>
      </c>
      <c r="E64" s="3" t="s">
        <v>1596</v>
      </c>
      <c r="F64" s="3" t="s">
        <v>1708</v>
      </c>
      <c r="G64" s="3"/>
    </row>
    <row r="65" spans="1:7" ht="34.5">
      <c r="B65" s="3" t="s">
        <v>111</v>
      </c>
      <c r="C65" s="3"/>
      <c r="D65" s="3" t="s">
        <v>1552</v>
      </c>
      <c r="E65" s="3"/>
      <c r="F65" s="3" t="s">
        <v>1744</v>
      </c>
      <c r="G65" s="3" t="s">
        <v>1744</v>
      </c>
    </row>
    <row r="66" spans="1:7" ht="34.5">
      <c r="B66" s="3" t="s">
        <v>1805</v>
      </c>
      <c r="C66" s="3"/>
      <c r="D66" s="3" t="s">
        <v>1552</v>
      </c>
      <c r="E66" s="3"/>
      <c r="F66" s="3" t="s">
        <v>1806</v>
      </c>
      <c r="G66" s="3" t="s">
        <v>1806</v>
      </c>
    </row>
    <row r="67" spans="1:7" ht="23.25">
      <c r="B67" s="3" t="s">
        <v>1810</v>
      </c>
      <c r="C67" s="3"/>
      <c r="D67" s="3" t="s">
        <v>1811</v>
      </c>
      <c r="E67" s="3"/>
      <c r="F67" s="3" t="s">
        <v>1812</v>
      </c>
      <c r="G67" s="3" t="s">
        <v>1812</v>
      </c>
    </row>
    <row r="68" spans="1:7" ht="34.5">
      <c r="B68" s="3" t="s">
        <v>1884</v>
      </c>
      <c r="C68" s="3" t="s">
        <v>1885</v>
      </c>
      <c r="D68" s="3" t="s">
        <v>1886</v>
      </c>
      <c r="E68" s="3"/>
      <c r="F68" s="3" t="s">
        <v>1887</v>
      </c>
      <c r="G68" s="3" t="s">
        <v>1887</v>
      </c>
    </row>
    <row r="69" spans="1:7" ht="23.25">
      <c r="B69" s="3" t="s">
        <v>2060</v>
      </c>
      <c r="C69" s="3"/>
      <c r="D69" s="3" t="s">
        <v>2061</v>
      </c>
      <c r="E69" s="3" t="s">
        <v>2060</v>
      </c>
      <c r="F69" s="3" t="s">
        <v>2062</v>
      </c>
      <c r="G69" s="3" t="s">
        <v>2062</v>
      </c>
    </row>
    <row r="70" spans="1:7" ht="34.5">
      <c r="B70" s="3" t="s">
        <v>2281</v>
      </c>
      <c r="C70" s="3"/>
      <c r="D70" s="3" t="s">
        <v>1552</v>
      </c>
      <c r="E70" s="3"/>
      <c r="F70" s="3" t="s">
        <v>2282</v>
      </c>
      <c r="G70" s="3" t="s">
        <v>2282</v>
      </c>
    </row>
    <row r="72" spans="1:7">
      <c r="A72" s="2" t="s">
        <v>2325</v>
      </c>
    </row>
    <row r="73" spans="1:7" ht="34.5">
      <c r="B73" s="3" t="s">
        <v>166</v>
      </c>
      <c r="C73" s="3"/>
      <c r="D73" s="3" t="s">
        <v>1865</v>
      </c>
      <c r="E73" s="3"/>
      <c r="F73" s="3" t="s">
        <v>1866</v>
      </c>
      <c r="G73" s="3" t="s">
        <v>1866</v>
      </c>
    </row>
    <row r="75" spans="1:7">
      <c r="A75" s="2" t="s">
        <v>2347</v>
      </c>
    </row>
    <row r="76" spans="1:7" ht="34.5">
      <c r="B76" s="3" t="s">
        <v>2071</v>
      </c>
      <c r="C76" s="3"/>
      <c r="D76" s="3" t="s">
        <v>1663</v>
      </c>
      <c r="E76" s="3" t="s">
        <v>2069</v>
      </c>
      <c r="F76" s="3" t="s">
        <v>2072</v>
      </c>
      <c r="G76" s="3"/>
    </row>
    <row r="78" spans="1:7">
      <c r="A78" s="2" t="s">
        <v>2327</v>
      </c>
    </row>
    <row r="79" spans="1:7" ht="34.5">
      <c r="B79" s="3" t="s">
        <v>1540</v>
      </c>
      <c r="C79" s="3"/>
      <c r="D79" s="3" t="s">
        <v>1541</v>
      </c>
      <c r="E79" s="3" t="s">
        <v>1542</v>
      </c>
      <c r="F79" s="3" t="s">
        <v>1543</v>
      </c>
      <c r="G79" s="3"/>
    </row>
    <row r="80" spans="1:7" ht="23.25">
      <c r="B80" s="3" t="s">
        <v>1747</v>
      </c>
      <c r="C80" s="3"/>
      <c r="D80" s="3" t="s">
        <v>1748</v>
      </c>
      <c r="E80" s="3"/>
      <c r="F80" s="3" t="s">
        <v>1749</v>
      </c>
      <c r="G80" s="3" t="s">
        <v>1749</v>
      </c>
    </row>
    <row r="81" spans="1:7" ht="23.25">
      <c r="B81" s="3" t="s">
        <v>2299</v>
      </c>
      <c r="C81" s="3"/>
      <c r="D81" s="3" t="s">
        <v>2300</v>
      </c>
      <c r="E81" s="3" t="s">
        <v>2299</v>
      </c>
      <c r="F81" s="3" t="s">
        <v>2301</v>
      </c>
      <c r="G81" s="3" t="s">
        <v>2301</v>
      </c>
    </row>
    <row r="83" spans="1:7">
      <c r="A83" s="2" t="s">
        <v>2348</v>
      </c>
    </row>
    <row r="84" spans="1:7" ht="23.25">
      <c r="B84" s="3" t="s">
        <v>1565</v>
      </c>
      <c r="C84" s="3"/>
      <c r="D84" s="3" t="s">
        <v>1566</v>
      </c>
      <c r="E84" s="3" t="s">
        <v>1567</v>
      </c>
      <c r="F84" s="3" t="s">
        <v>1568</v>
      </c>
      <c r="G84" s="3"/>
    </row>
    <row r="86" spans="1:7">
      <c r="A86" s="2" t="s">
        <v>2349</v>
      </c>
    </row>
    <row r="87" spans="1:7" ht="34.5">
      <c r="B87" s="3" t="s">
        <v>1649</v>
      </c>
      <c r="C87" s="3"/>
      <c r="D87" s="3" t="s">
        <v>1650</v>
      </c>
      <c r="E87" s="3"/>
      <c r="F87" s="3" t="s">
        <v>1651</v>
      </c>
      <c r="G87" s="3" t="s">
        <v>1651</v>
      </c>
    </row>
    <row r="88" spans="1:7" ht="23.25">
      <c r="B88" s="3" t="s">
        <v>1678</v>
      </c>
      <c r="C88" s="3"/>
      <c r="D88" s="3"/>
      <c r="E88" s="3" t="s">
        <v>1679</v>
      </c>
      <c r="F88" s="3" t="s">
        <v>1680</v>
      </c>
      <c r="G88" s="3" t="s">
        <v>1680</v>
      </c>
    </row>
    <row r="89" spans="1:7" ht="34.5">
      <c r="B89" s="3" t="s">
        <v>1526</v>
      </c>
      <c r="C89" s="3"/>
      <c r="D89" s="3" t="s">
        <v>1787</v>
      </c>
      <c r="E89" s="3"/>
      <c r="F89" s="3" t="s">
        <v>1788</v>
      </c>
      <c r="G89" s="3" t="s">
        <v>1788</v>
      </c>
    </row>
    <row r="91" spans="1:7">
      <c r="A91" s="2" t="s">
        <v>2350</v>
      </c>
    </row>
    <row r="92" spans="1:7" ht="34.5">
      <c r="B92" s="3" t="s">
        <v>1623</v>
      </c>
      <c r="C92" s="3" t="s">
        <v>1624</v>
      </c>
      <c r="D92" s="3" t="s">
        <v>1625</v>
      </c>
      <c r="E92" s="3"/>
      <c r="F92" s="3" t="s">
        <v>1626</v>
      </c>
      <c r="G92" s="3" t="s">
        <v>1626</v>
      </c>
    </row>
    <row r="93" spans="1:7" ht="23.25">
      <c r="B93" s="3" t="s">
        <v>1756</v>
      </c>
      <c r="C93" s="3"/>
      <c r="D93" s="3" t="s">
        <v>1757</v>
      </c>
      <c r="E93" s="3"/>
      <c r="F93" s="3" t="s">
        <v>1758</v>
      </c>
      <c r="G93" s="3" t="s">
        <v>1758</v>
      </c>
    </row>
    <row r="95" spans="1:7">
      <c r="A95" s="2" t="s">
        <v>2351</v>
      </c>
    </row>
    <row r="96" spans="1:7" ht="34.5">
      <c r="B96" s="3" t="s">
        <v>55</v>
      </c>
      <c r="C96" s="3"/>
      <c r="D96" s="3" t="s">
        <v>1552</v>
      </c>
      <c r="E96" s="3"/>
      <c r="F96" s="3" t="s">
        <v>1554</v>
      </c>
      <c r="G96" s="3" t="s">
        <v>1554</v>
      </c>
    </row>
    <row r="97" spans="1:7" ht="34.5">
      <c r="B97" s="3" t="s">
        <v>1670</v>
      </c>
      <c r="C97" s="3" t="s">
        <v>1671</v>
      </c>
      <c r="D97" s="3" t="s">
        <v>1672</v>
      </c>
      <c r="E97" s="3" t="s">
        <v>1673</v>
      </c>
      <c r="F97" s="3" t="s">
        <v>1674</v>
      </c>
      <c r="G97" s="3" t="s">
        <v>1674</v>
      </c>
    </row>
    <row r="99" spans="1:7">
      <c r="A99" s="2" t="s">
        <v>2328</v>
      </c>
    </row>
    <row r="100" spans="1:7" ht="34.5">
      <c r="B100" s="3" t="s">
        <v>1634</v>
      </c>
      <c r="C100" s="3" t="s">
        <v>1635</v>
      </c>
      <c r="D100" s="3" t="s">
        <v>1552</v>
      </c>
      <c r="E100" s="3"/>
      <c r="F100" s="3" t="s">
        <v>1636</v>
      </c>
      <c r="G100" s="3" t="s">
        <v>1636</v>
      </c>
    </row>
    <row r="101" spans="1:7" ht="23.25">
      <c r="B101" s="3" t="s">
        <v>992</v>
      </c>
      <c r="C101" s="3"/>
      <c r="D101" s="3" t="s">
        <v>1764</v>
      </c>
      <c r="E101" s="3"/>
      <c r="F101" s="3" t="s">
        <v>1765</v>
      </c>
      <c r="G101" s="3" t="s">
        <v>1765</v>
      </c>
    </row>
    <row r="102" spans="1:7" ht="34.5">
      <c r="B102" s="3" t="s">
        <v>1008</v>
      </c>
      <c r="C102" s="3"/>
      <c r="D102" s="3" t="s">
        <v>1793</v>
      </c>
      <c r="E102" s="3"/>
      <c r="F102" s="3" t="s">
        <v>1794</v>
      </c>
      <c r="G102" s="3" t="s">
        <v>1794</v>
      </c>
    </row>
    <row r="103" spans="1:7" ht="34.5">
      <c r="B103" s="3" t="s">
        <v>1952</v>
      </c>
      <c r="C103" s="3" t="s">
        <v>1953</v>
      </c>
      <c r="D103" s="3" t="s">
        <v>1954</v>
      </c>
      <c r="E103" s="3"/>
      <c r="F103" s="3" t="s">
        <v>1955</v>
      </c>
      <c r="G103" s="3" t="s">
        <v>1955</v>
      </c>
    </row>
    <row r="104" spans="1:7" ht="34.5">
      <c r="B104" s="3" t="s">
        <v>1355</v>
      </c>
      <c r="C104" s="3" t="s">
        <v>2050</v>
      </c>
      <c r="D104" s="3" t="s">
        <v>2051</v>
      </c>
      <c r="E104" s="3"/>
      <c r="F104" s="3" t="s">
        <v>2052</v>
      </c>
      <c r="G104" s="3" t="s">
        <v>2052</v>
      </c>
    </row>
    <row r="106" spans="1:7">
      <c r="A106" s="2" t="s">
        <v>2352</v>
      </c>
    </row>
    <row r="107" spans="1:7" ht="34.5">
      <c r="B107" s="3" t="s">
        <v>870</v>
      </c>
      <c r="C107" s="3" t="s">
        <v>1615</v>
      </c>
      <c r="D107" s="3" t="s">
        <v>1616</v>
      </c>
      <c r="E107" s="3" t="s">
        <v>1617</v>
      </c>
      <c r="F107" s="3" t="s">
        <v>1618</v>
      </c>
      <c r="G107" s="3" t="s">
        <v>1618</v>
      </c>
    </row>
    <row r="108" spans="1:7" ht="34.5">
      <c r="B108" s="3" t="s">
        <v>1932</v>
      </c>
      <c r="C108" s="3" t="s">
        <v>1933</v>
      </c>
      <c r="D108" s="3" t="s">
        <v>1552</v>
      </c>
      <c r="E108" s="3"/>
      <c r="F108" s="3" t="s">
        <v>1934</v>
      </c>
      <c r="G108" s="3" t="s">
        <v>1934</v>
      </c>
    </row>
    <row r="110" spans="1:7">
      <c r="A110" s="2" t="s">
        <v>2353</v>
      </c>
    </row>
    <row r="111" spans="1:7" ht="23.25">
      <c r="B111" s="3" t="s">
        <v>311</v>
      </c>
      <c r="C111" s="3" t="s">
        <v>1555</v>
      </c>
      <c r="D111" s="3" t="s">
        <v>1552</v>
      </c>
      <c r="E111" s="3"/>
      <c r="F111" s="3" t="s">
        <v>1558</v>
      </c>
      <c r="G111" s="3" t="s">
        <v>1558</v>
      </c>
    </row>
    <row r="113" spans="1:7">
      <c r="A113" s="2" t="s">
        <v>2354</v>
      </c>
    </row>
    <row r="114" spans="1:7" ht="34.5">
      <c r="B114" s="3" t="s">
        <v>1990</v>
      </c>
      <c r="C114" s="3"/>
      <c r="D114" s="3" t="s">
        <v>1552</v>
      </c>
      <c r="E114" s="3"/>
      <c r="F114" s="3" t="s">
        <v>1991</v>
      </c>
      <c r="G114" s="3" t="s">
        <v>1991</v>
      </c>
    </row>
    <row r="116" spans="1:7">
      <c r="A116" s="2" t="s">
        <v>2355</v>
      </c>
    </row>
    <row r="117" spans="1:7" ht="34.5">
      <c r="B117" s="3" t="s">
        <v>2014</v>
      </c>
      <c r="C117" s="3" t="s">
        <v>2015</v>
      </c>
      <c r="D117" s="3" t="s">
        <v>2016</v>
      </c>
      <c r="E117" s="3" t="s">
        <v>2017</v>
      </c>
      <c r="F117" s="3" t="s">
        <v>2018</v>
      </c>
      <c r="G117" s="3" t="s">
        <v>2018</v>
      </c>
    </row>
    <row r="119" spans="1:7">
      <c r="A119" s="2" t="s">
        <v>2356</v>
      </c>
    </row>
    <row r="120" spans="1:7" ht="34.5">
      <c r="B120" s="3" t="s">
        <v>1824</v>
      </c>
      <c r="C120" s="3" t="s">
        <v>1825</v>
      </c>
      <c r="D120" s="3" t="s">
        <v>1552</v>
      </c>
      <c r="E120" s="3"/>
      <c r="F120" s="3" t="s">
        <v>1826</v>
      </c>
      <c r="G120" s="3" t="s">
        <v>1826</v>
      </c>
    </row>
    <row r="121" spans="1:7" ht="34.5">
      <c r="B121" s="3" t="s">
        <v>2307</v>
      </c>
      <c r="C121" s="3" t="s">
        <v>2308</v>
      </c>
      <c r="D121" s="3" t="s">
        <v>2304</v>
      </c>
      <c r="E121" s="3" t="s">
        <v>2309</v>
      </c>
      <c r="F121" s="3" t="s">
        <v>2310</v>
      </c>
      <c r="G121" s="3" t="s">
        <v>2311</v>
      </c>
    </row>
    <row r="123" spans="1:7">
      <c r="A123" s="2" t="s">
        <v>2357</v>
      </c>
    </row>
    <row r="124" spans="1:7" ht="34.5">
      <c r="B124" s="3" t="s">
        <v>1813</v>
      </c>
      <c r="C124" s="3" t="s">
        <v>1814</v>
      </c>
      <c r="D124" s="3" t="s">
        <v>1552</v>
      </c>
      <c r="E124" s="3"/>
      <c r="F124" s="3" t="s">
        <v>1815</v>
      </c>
      <c r="G124" s="3" t="s">
        <v>1815</v>
      </c>
    </row>
    <row r="126" spans="1:7">
      <c r="A126" s="2" t="s">
        <v>2329</v>
      </c>
    </row>
    <row r="127" spans="1:7" ht="34.5">
      <c r="B127" s="3" t="s">
        <v>1720</v>
      </c>
      <c r="C127" s="3" t="s">
        <v>1721</v>
      </c>
      <c r="D127" s="3" t="s">
        <v>1541</v>
      </c>
      <c r="E127" s="3" t="s">
        <v>1720</v>
      </c>
      <c r="F127" s="3" t="s">
        <v>1722</v>
      </c>
      <c r="G127" s="3" t="s">
        <v>1722</v>
      </c>
    </row>
    <row r="129" spans="1:7">
      <c r="A129" s="2" t="s">
        <v>2358</v>
      </c>
    </row>
    <row r="130" spans="1:7" ht="34.5">
      <c r="B130" s="3" t="s">
        <v>1928</v>
      </c>
      <c r="C130" s="3"/>
      <c r="D130" s="3" t="s">
        <v>1929</v>
      </c>
      <c r="E130" s="3"/>
      <c r="F130" s="3" t="s">
        <v>1930</v>
      </c>
      <c r="G130" s="3" t="s">
        <v>1930</v>
      </c>
    </row>
    <row r="132" spans="1:7">
      <c r="A132" s="2" t="s">
        <v>2359</v>
      </c>
    </row>
    <row r="133" spans="1:7" ht="23.25">
      <c r="B133" s="3" t="s">
        <v>1102</v>
      </c>
      <c r="C133" s="3"/>
      <c r="D133" s="3" t="s">
        <v>1850</v>
      </c>
      <c r="E133" s="3" t="s">
        <v>1102</v>
      </c>
      <c r="F133" s="3" t="s">
        <v>1851</v>
      </c>
      <c r="G133" s="3" t="s">
        <v>1851</v>
      </c>
    </row>
    <row r="134" spans="1:7" ht="23.25">
      <c r="B134" s="3" t="s">
        <v>210</v>
      </c>
      <c r="C134" s="3"/>
      <c r="D134" s="3"/>
      <c r="E134" s="3"/>
      <c r="F134" s="3" t="s">
        <v>1986</v>
      </c>
      <c r="G134" s="3"/>
    </row>
    <row r="136" spans="1:7">
      <c r="A136" s="2" t="s">
        <v>2360</v>
      </c>
    </row>
    <row r="137" spans="1:7" ht="34.5">
      <c r="B137" s="3" t="s">
        <v>1099</v>
      </c>
      <c r="C137" s="3"/>
      <c r="D137" s="3" t="s">
        <v>1848</v>
      </c>
      <c r="E137" s="3"/>
      <c r="F137" s="3" t="s">
        <v>1849</v>
      </c>
      <c r="G137" s="3" t="s">
        <v>1849</v>
      </c>
    </row>
    <row r="139" spans="1:7">
      <c r="A139" s="2" t="s">
        <v>2361</v>
      </c>
    </row>
    <row r="140" spans="1:7" ht="34.5">
      <c r="B140" s="3" t="s">
        <v>1768</v>
      </c>
      <c r="C140" s="3"/>
      <c r="D140" s="3" t="s">
        <v>1769</v>
      </c>
      <c r="E140" s="3"/>
      <c r="F140" s="3" t="s">
        <v>1770</v>
      </c>
      <c r="G140" s="3" t="s">
        <v>1770</v>
      </c>
    </row>
    <row r="141" spans="1:7" ht="34.5">
      <c r="B141" s="3" t="s">
        <v>1795</v>
      </c>
      <c r="C141" s="3" t="s">
        <v>1796</v>
      </c>
      <c r="D141" s="3" t="s">
        <v>1797</v>
      </c>
      <c r="E141" s="3"/>
      <c r="F141" s="3" t="s">
        <v>1798</v>
      </c>
      <c r="G141" s="3" t="s">
        <v>1798</v>
      </c>
    </row>
    <row r="142" spans="1:7" ht="34.5">
      <c r="B142" s="3" t="s">
        <v>1859</v>
      </c>
      <c r="C142" s="3"/>
      <c r="D142" s="3"/>
      <c r="E142" s="3"/>
      <c r="F142" s="3" t="s">
        <v>1860</v>
      </c>
      <c r="G142" s="3" t="s">
        <v>1860</v>
      </c>
    </row>
    <row r="143" spans="1:7" ht="23.25">
      <c r="B143" s="3" t="s">
        <v>1972</v>
      </c>
      <c r="C143" s="3"/>
      <c r="D143" s="3"/>
      <c r="E143" s="3" t="s">
        <v>1596</v>
      </c>
      <c r="F143" s="3" t="s">
        <v>1973</v>
      </c>
      <c r="G143" s="3" t="s">
        <v>1973</v>
      </c>
    </row>
    <row r="144" spans="1:7" ht="23.25">
      <c r="B144" s="3" t="s">
        <v>1974</v>
      </c>
      <c r="C144" s="3" t="s">
        <v>1975</v>
      </c>
      <c r="D144" s="3" t="s">
        <v>1976</v>
      </c>
      <c r="E144" s="3" t="s">
        <v>1977</v>
      </c>
      <c r="F144" s="3" t="s">
        <v>1978</v>
      </c>
      <c r="G144" s="3"/>
    </row>
    <row r="145" spans="1:7" ht="23.25">
      <c r="B145" s="3" t="s">
        <v>1979</v>
      </c>
      <c r="C145" s="3" t="s">
        <v>1975</v>
      </c>
      <c r="D145" s="3" t="s">
        <v>1980</v>
      </c>
      <c r="E145" s="3" t="s">
        <v>1977</v>
      </c>
      <c r="F145" s="3" t="s">
        <v>1978</v>
      </c>
      <c r="G145" s="3"/>
    </row>
    <row r="146" spans="1:7" ht="23.25">
      <c r="B146" s="3" t="s">
        <v>1981</v>
      </c>
      <c r="C146" s="3"/>
      <c r="D146" s="3" t="s">
        <v>1982</v>
      </c>
      <c r="E146" s="3" t="s">
        <v>1983</v>
      </c>
      <c r="F146" s="3" t="s">
        <v>1978</v>
      </c>
      <c r="G146" s="3"/>
    </row>
    <row r="148" spans="1:7">
      <c r="A148" s="2" t="s">
        <v>2362</v>
      </c>
    </row>
    <row r="149" spans="1:7" ht="34.5">
      <c r="B149" s="3" t="s">
        <v>1619</v>
      </c>
      <c r="C149" s="3" t="s">
        <v>1620</v>
      </c>
      <c r="D149" s="3" t="s">
        <v>1621</v>
      </c>
      <c r="E149" s="3" t="s">
        <v>75</v>
      </c>
      <c r="F149" s="3" t="s">
        <v>1622</v>
      </c>
      <c r="G149" s="3" t="s">
        <v>1622</v>
      </c>
    </row>
    <row r="150" spans="1:7" ht="34.5">
      <c r="B150" s="3" t="s">
        <v>2302</v>
      </c>
      <c r="C150" s="3" t="s">
        <v>2303</v>
      </c>
      <c r="D150" s="3" t="s">
        <v>2304</v>
      </c>
      <c r="E150" s="3" t="s">
        <v>2305</v>
      </c>
      <c r="F150" s="3" t="s">
        <v>2306</v>
      </c>
      <c r="G150" s="3" t="s">
        <v>2306</v>
      </c>
    </row>
    <row r="152" spans="1:7">
      <c r="A152" s="2" t="s">
        <v>2363</v>
      </c>
    </row>
    <row r="153" spans="1:7" ht="34.5">
      <c r="B153" s="3" t="s">
        <v>2083</v>
      </c>
      <c r="C153" s="3"/>
      <c r="D153" s="3" t="s">
        <v>1631</v>
      </c>
      <c r="E153" s="3" t="s">
        <v>2069</v>
      </c>
      <c r="F153" s="3" t="s">
        <v>2084</v>
      </c>
      <c r="G153" s="3"/>
    </row>
    <row r="155" spans="1:7">
      <c r="A155" s="2" t="s">
        <v>2364</v>
      </c>
    </row>
    <row r="156" spans="1:7" ht="34.5">
      <c r="B156" s="3" t="s">
        <v>1681</v>
      </c>
      <c r="C156" s="3"/>
      <c r="D156" s="3" t="s">
        <v>1552</v>
      </c>
      <c r="E156" s="3"/>
      <c r="F156" s="3" t="s">
        <v>1682</v>
      </c>
      <c r="G156" s="3" t="s">
        <v>1682</v>
      </c>
    </row>
    <row r="158" spans="1:7">
      <c r="A158" s="2" t="s">
        <v>2330</v>
      </c>
    </row>
    <row r="159" spans="1:7" ht="23.25">
      <c r="B159" s="3" t="s">
        <v>1882</v>
      </c>
      <c r="C159" s="3"/>
      <c r="D159" s="3" t="s">
        <v>1552</v>
      </c>
      <c r="E159" s="3"/>
      <c r="F159" s="3" t="s">
        <v>1883</v>
      </c>
      <c r="G159" s="3" t="s">
        <v>1883</v>
      </c>
    </row>
    <row r="160" spans="1:7" ht="23.25">
      <c r="B160" s="3" t="s">
        <v>1925</v>
      </c>
      <c r="C160" s="3"/>
      <c r="D160" s="3" t="s">
        <v>1926</v>
      </c>
      <c r="E160" s="3"/>
      <c r="F160" s="3" t="s">
        <v>1927</v>
      </c>
      <c r="G160" s="3" t="s">
        <v>1927</v>
      </c>
    </row>
    <row r="161" spans="1:7" ht="34.5">
      <c r="B161" s="3" t="s">
        <v>2035</v>
      </c>
      <c r="C161" s="3" t="s">
        <v>2036</v>
      </c>
      <c r="D161" s="3" t="s">
        <v>1552</v>
      </c>
      <c r="E161" s="3"/>
      <c r="F161" s="3" t="s">
        <v>2038</v>
      </c>
      <c r="G161" s="3" t="s">
        <v>2038</v>
      </c>
    </row>
    <row r="163" spans="1:7">
      <c r="A163" s="2" t="s">
        <v>2331</v>
      </c>
    </row>
    <row r="164" spans="1:7" ht="34.5">
      <c r="B164" s="3" t="s">
        <v>842</v>
      </c>
      <c r="C164" s="3"/>
      <c r="D164" s="3" t="s">
        <v>1576</v>
      </c>
      <c r="E164" s="3"/>
      <c r="F164" s="3" t="s">
        <v>1577</v>
      </c>
      <c r="G164" s="3" t="s">
        <v>1577</v>
      </c>
    </row>
    <row r="165" spans="1:7" ht="23.25">
      <c r="B165" s="3" t="s">
        <v>1591</v>
      </c>
      <c r="C165" s="3"/>
      <c r="D165" s="3" t="s">
        <v>1592</v>
      </c>
      <c r="E165" s="3" t="s">
        <v>1593</v>
      </c>
      <c r="F165" s="3" t="s">
        <v>1594</v>
      </c>
      <c r="G165" s="3" t="s">
        <v>1594</v>
      </c>
    </row>
    <row r="166" spans="1:7" ht="23.25">
      <c r="B166" s="3" t="s">
        <v>1630</v>
      </c>
      <c r="C166" s="3"/>
      <c r="D166" s="3" t="s">
        <v>1631</v>
      </c>
      <c r="E166" s="3" t="s">
        <v>1632</v>
      </c>
      <c r="F166" s="3" t="s">
        <v>1633</v>
      </c>
      <c r="G166" s="3"/>
    </row>
    <row r="167" spans="1:7" ht="23.25">
      <c r="B167" s="3" t="s">
        <v>1640</v>
      </c>
      <c r="C167" s="3"/>
      <c r="D167" s="3" t="s">
        <v>1641</v>
      </c>
      <c r="E167" s="3"/>
      <c r="F167" s="3" t="s">
        <v>1642</v>
      </c>
      <c r="G167" s="3" t="s">
        <v>1642</v>
      </c>
    </row>
    <row r="168" spans="1:7" ht="23.25">
      <c r="B168" s="3" t="s">
        <v>1643</v>
      </c>
      <c r="C168" s="3"/>
      <c r="D168" s="3"/>
      <c r="E168" s="3" t="s">
        <v>1596</v>
      </c>
      <c r="F168" s="3" t="s">
        <v>1644</v>
      </c>
      <c r="G168" s="3" t="s">
        <v>1644</v>
      </c>
    </row>
    <row r="169" spans="1:7" ht="34.5">
      <c r="B169" s="3" t="s">
        <v>1645</v>
      </c>
      <c r="C169" s="3" t="s">
        <v>1646</v>
      </c>
      <c r="D169" s="3" t="s">
        <v>1647</v>
      </c>
      <c r="E169" s="3"/>
      <c r="F169" s="3" t="s">
        <v>1648</v>
      </c>
      <c r="G169" s="3" t="s">
        <v>1648</v>
      </c>
    </row>
    <row r="170" spans="1:7" ht="23.25">
      <c r="B170" s="3" t="s">
        <v>912</v>
      </c>
      <c r="C170" s="3"/>
      <c r="D170" s="3" t="s">
        <v>1656</v>
      </c>
      <c r="E170" s="3" t="s">
        <v>1596</v>
      </c>
      <c r="F170" s="3" t="s">
        <v>1657</v>
      </c>
      <c r="G170" s="3"/>
    </row>
    <row r="171" spans="1:7" ht="23.25">
      <c r="B171" s="3" t="s">
        <v>1662</v>
      </c>
      <c r="C171" s="3"/>
      <c r="D171" s="3" t="s">
        <v>1663</v>
      </c>
      <c r="E171" s="3" t="s">
        <v>1664</v>
      </c>
      <c r="F171" s="3" t="s">
        <v>1665</v>
      </c>
      <c r="G171" s="3"/>
    </row>
    <row r="172" spans="1:7" ht="23.25">
      <c r="B172" s="3" t="s">
        <v>99</v>
      </c>
      <c r="C172" s="3"/>
      <c r="D172" s="3" t="s">
        <v>1666</v>
      </c>
      <c r="E172" s="3"/>
      <c r="F172" s="3" t="s">
        <v>1667</v>
      </c>
      <c r="G172" s="3" t="s">
        <v>1667</v>
      </c>
    </row>
    <row r="173" spans="1:7" ht="34.5">
      <c r="B173" s="3" t="s">
        <v>1668</v>
      </c>
      <c r="C173" s="3"/>
      <c r="D173" s="3" t="s">
        <v>1552</v>
      </c>
      <c r="E173" s="3"/>
      <c r="F173" s="3" t="s">
        <v>1669</v>
      </c>
      <c r="G173" s="3" t="s">
        <v>1669</v>
      </c>
    </row>
    <row r="174" spans="1:7" ht="34.5">
      <c r="B174" s="3" t="s">
        <v>1693</v>
      </c>
      <c r="C174" s="3" t="s">
        <v>1694</v>
      </c>
      <c r="D174" s="3" t="s">
        <v>1695</v>
      </c>
      <c r="E174" s="3" t="s">
        <v>1696</v>
      </c>
      <c r="F174" s="3" t="s">
        <v>1697</v>
      </c>
      <c r="G174" s="3" t="s">
        <v>1698</v>
      </c>
    </row>
    <row r="175" spans="1:7" ht="23.25">
      <c r="B175" s="3" t="s">
        <v>1775</v>
      </c>
      <c r="C175" s="3"/>
      <c r="D175" s="3" t="s">
        <v>1631</v>
      </c>
      <c r="E175" s="3" t="s">
        <v>1776</v>
      </c>
      <c r="F175" s="3" t="s">
        <v>1777</v>
      </c>
      <c r="G175" s="3"/>
    </row>
    <row r="176" spans="1:7" ht="34.5">
      <c r="B176" s="3" t="s">
        <v>1832</v>
      </c>
      <c r="C176" s="3"/>
      <c r="D176" s="3" t="s">
        <v>1552</v>
      </c>
      <c r="E176" s="3"/>
      <c r="F176" s="3" t="s">
        <v>1833</v>
      </c>
      <c r="G176" s="3" t="s">
        <v>1833</v>
      </c>
    </row>
    <row r="177" spans="2:7" ht="34.5">
      <c r="B177" s="3" t="s">
        <v>1835</v>
      </c>
      <c r="C177" s="3"/>
      <c r="D177" s="3" t="s">
        <v>1663</v>
      </c>
      <c r="E177" s="3" t="s">
        <v>1596</v>
      </c>
      <c r="F177" s="3" t="s">
        <v>1836</v>
      </c>
      <c r="G177" s="3"/>
    </row>
    <row r="178" spans="2:7" ht="34.5">
      <c r="B178" s="3" t="s">
        <v>1922</v>
      </c>
      <c r="C178" s="3"/>
      <c r="D178" s="3"/>
      <c r="E178" s="3" t="s">
        <v>1922</v>
      </c>
      <c r="F178" s="3" t="s">
        <v>1923</v>
      </c>
      <c r="G178" s="3" t="s">
        <v>1923</v>
      </c>
    </row>
    <row r="179" spans="2:7" ht="34.5">
      <c r="B179" s="3" t="s">
        <v>199</v>
      </c>
      <c r="C179" s="3"/>
      <c r="D179" s="3" t="s">
        <v>1552</v>
      </c>
      <c r="E179" s="3" t="s">
        <v>199</v>
      </c>
      <c r="F179" s="3" t="s">
        <v>1956</v>
      </c>
      <c r="G179" s="3" t="s">
        <v>1956</v>
      </c>
    </row>
    <row r="180" spans="2:7" ht="23.25">
      <c r="B180" s="3" t="s">
        <v>1225</v>
      </c>
      <c r="C180" s="3"/>
      <c r="D180" s="3" t="s">
        <v>1552</v>
      </c>
      <c r="E180" s="3" t="s">
        <v>1596</v>
      </c>
      <c r="F180" s="3" t="s">
        <v>1967</v>
      </c>
      <c r="G180" s="3" t="s">
        <v>1967</v>
      </c>
    </row>
    <row r="181" spans="2:7" ht="34.5">
      <c r="B181" s="3" t="s">
        <v>1984</v>
      </c>
      <c r="C181" s="3"/>
      <c r="D181" s="3" t="s">
        <v>1663</v>
      </c>
      <c r="E181" s="3" t="s">
        <v>1596</v>
      </c>
      <c r="F181" s="3" t="s">
        <v>1985</v>
      </c>
      <c r="G181" s="3"/>
    </row>
    <row r="182" spans="2:7" ht="23.25">
      <c r="B182" s="3" t="s">
        <v>1994</v>
      </c>
      <c r="C182" s="3"/>
      <c r="D182" s="3" t="s">
        <v>1541</v>
      </c>
      <c r="E182" s="3" t="s">
        <v>1596</v>
      </c>
      <c r="F182" s="3" t="s">
        <v>1995</v>
      </c>
      <c r="G182" s="3"/>
    </row>
    <row r="183" spans="2:7" ht="23.25">
      <c r="B183" s="3" t="s">
        <v>2002</v>
      </c>
      <c r="C183" s="3" t="s">
        <v>2003</v>
      </c>
      <c r="D183" s="3" t="s">
        <v>1790</v>
      </c>
      <c r="E183" s="3"/>
      <c r="F183" s="3" t="s">
        <v>2004</v>
      </c>
      <c r="G183" s="3" t="s">
        <v>2004</v>
      </c>
    </row>
    <row r="184" spans="2:7" ht="34.5">
      <c r="B184" s="3" t="s">
        <v>2009</v>
      </c>
      <c r="C184" s="3" t="s">
        <v>2010</v>
      </c>
      <c r="D184" s="3" t="s">
        <v>2011</v>
      </c>
      <c r="E184" s="3" t="s">
        <v>2012</v>
      </c>
      <c r="F184" s="3" t="s">
        <v>2013</v>
      </c>
      <c r="G184" s="3" t="s">
        <v>2013</v>
      </c>
    </row>
    <row r="185" spans="2:7" ht="23.25">
      <c r="B185" s="3" t="s">
        <v>2019</v>
      </c>
      <c r="C185" s="3"/>
      <c r="D185" s="3" t="s">
        <v>1656</v>
      </c>
      <c r="E185" s="3" t="s">
        <v>2020</v>
      </c>
      <c r="F185" s="3" t="s">
        <v>2021</v>
      </c>
      <c r="G185" s="3"/>
    </row>
    <row r="186" spans="2:7" ht="23.25">
      <c r="B186" s="3" t="s">
        <v>2022</v>
      </c>
      <c r="C186" s="3"/>
      <c r="D186" s="3" t="s">
        <v>2023</v>
      </c>
      <c r="E186" s="3"/>
      <c r="F186" s="3" t="s">
        <v>2024</v>
      </c>
      <c r="G186" s="3" t="s">
        <v>2024</v>
      </c>
    </row>
    <row r="187" spans="2:7" ht="23.25">
      <c r="B187" s="3" t="s">
        <v>2028</v>
      </c>
      <c r="C187" s="3"/>
      <c r="D187" s="3" t="s">
        <v>1552</v>
      </c>
      <c r="E187" s="3"/>
      <c r="F187" s="3" t="s">
        <v>2029</v>
      </c>
      <c r="G187" s="3" t="s">
        <v>2029</v>
      </c>
    </row>
    <row r="188" spans="2:7" ht="23.25">
      <c r="B188" s="3" t="s">
        <v>2030</v>
      </c>
      <c r="C188" s="3"/>
      <c r="D188" s="3" t="s">
        <v>1541</v>
      </c>
      <c r="E188" s="3"/>
      <c r="F188" s="3" t="s">
        <v>2031</v>
      </c>
      <c r="G188" s="3" t="s">
        <v>2031</v>
      </c>
    </row>
    <row r="189" spans="2:7" ht="23.25">
      <c r="B189" s="3" t="s">
        <v>2039</v>
      </c>
      <c r="C189" s="3"/>
      <c r="D189" s="3"/>
      <c r="E189" s="3"/>
      <c r="F189" s="3" t="s">
        <v>2040</v>
      </c>
      <c r="G189" s="3" t="s">
        <v>2040</v>
      </c>
    </row>
    <row r="190" spans="2:7" ht="23.25">
      <c r="B190" s="3" t="s">
        <v>2058</v>
      </c>
      <c r="C190" s="3"/>
      <c r="D190" s="3" t="s">
        <v>1541</v>
      </c>
      <c r="E190" s="3" t="s">
        <v>1596</v>
      </c>
      <c r="F190" s="3" t="s">
        <v>2059</v>
      </c>
      <c r="G190" s="3" t="s">
        <v>2059</v>
      </c>
    </row>
    <row r="191" spans="2:7" ht="34.5">
      <c r="B191" s="3" t="s">
        <v>2063</v>
      </c>
      <c r="C191" s="3" t="s">
        <v>2064</v>
      </c>
      <c r="D191" s="3" t="s">
        <v>1552</v>
      </c>
      <c r="E191" s="3"/>
      <c r="F191" s="3" t="s">
        <v>2065</v>
      </c>
      <c r="G191" s="3" t="s">
        <v>2065</v>
      </c>
    </row>
    <row r="192" spans="2:7" ht="23.25">
      <c r="B192" s="3" t="s">
        <v>2068</v>
      </c>
      <c r="C192" s="3"/>
      <c r="D192" s="3" t="s">
        <v>1663</v>
      </c>
      <c r="E192" s="3" t="s">
        <v>2069</v>
      </c>
      <c r="F192" s="3" t="s">
        <v>2070</v>
      </c>
      <c r="G192" s="3" t="s">
        <v>2070</v>
      </c>
    </row>
    <row r="193" spans="1:7" ht="34.5">
      <c r="B193" s="3" t="s">
        <v>2087</v>
      </c>
      <c r="C193" s="3"/>
      <c r="D193" s="3" t="s">
        <v>1663</v>
      </c>
      <c r="E193" s="3" t="s">
        <v>2069</v>
      </c>
      <c r="F193" s="3" t="s">
        <v>2088</v>
      </c>
      <c r="G193" s="3"/>
    </row>
    <row r="194" spans="1:7" ht="34.5">
      <c r="B194" s="3" t="s">
        <v>2089</v>
      </c>
      <c r="C194" s="3"/>
      <c r="D194" s="3" t="s">
        <v>1541</v>
      </c>
      <c r="E194" s="3" t="s">
        <v>2069</v>
      </c>
      <c r="F194" s="3" t="s">
        <v>2090</v>
      </c>
      <c r="G194" s="3"/>
    </row>
    <row r="195" spans="1:7" ht="45.75">
      <c r="B195" s="3" t="s">
        <v>2149</v>
      </c>
      <c r="C195" s="3"/>
      <c r="D195" s="3" t="s">
        <v>1663</v>
      </c>
      <c r="E195" s="3" t="s">
        <v>2069</v>
      </c>
      <c r="F195" s="3" t="s">
        <v>2150</v>
      </c>
      <c r="G195" s="3" t="s">
        <v>2150</v>
      </c>
    </row>
    <row r="196" spans="1:7" ht="34.5">
      <c r="B196" s="3" t="s">
        <v>2193</v>
      </c>
      <c r="C196" s="3"/>
      <c r="D196" s="3" t="s">
        <v>1663</v>
      </c>
      <c r="E196" s="3" t="s">
        <v>2069</v>
      </c>
      <c r="F196" s="3" t="s">
        <v>2194</v>
      </c>
      <c r="G196" s="3" t="s">
        <v>2194</v>
      </c>
    </row>
    <row r="197" spans="1:7" ht="45.75">
      <c r="B197" s="3" t="s">
        <v>2197</v>
      </c>
      <c r="C197" s="3"/>
      <c r="D197" s="3" t="s">
        <v>1663</v>
      </c>
      <c r="E197" s="3" t="s">
        <v>2069</v>
      </c>
      <c r="F197" s="3" t="s">
        <v>2198</v>
      </c>
      <c r="G197" s="3" t="s">
        <v>2198</v>
      </c>
    </row>
    <row r="198" spans="1:7" ht="23.25">
      <c r="B198" s="3" t="s">
        <v>2209</v>
      </c>
      <c r="C198" s="3"/>
      <c r="D198" s="3" t="s">
        <v>1663</v>
      </c>
      <c r="E198" s="3" t="s">
        <v>2069</v>
      </c>
      <c r="F198" s="3" t="s">
        <v>2070</v>
      </c>
      <c r="G198" s="3" t="s">
        <v>2070</v>
      </c>
    </row>
    <row r="199" spans="1:7" ht="23.25">
      <c r="B199" s="3" t="s">
        <v>2228</v>
      </c>
      <c r="C199" s="3"/>
      <c r="D199" s="3" t="s">
        <v>1663</v>
      </c>
      <c r="E199" s="3" t="s">
        <v>2069</v>
      </c>
      <c r="F199" s="3" t="s">
        <v>2070</v>
      </c>
      <c r="G199" s="3" t="s">
        <v>2070</v>
      </c>
    </row>
    <row r="200" spans="1:7" ht="57">
      <c r="B200" s="3" t="s">
        <v>2241</v>
      </c>
      <c r="C200" s="3"/>
      <c r="D200" s="3" t="s">
        <v>1663</v>
      </c>
      <c r="E200" s="3" t="s">
        <v>2069</v>
      </c>
      <c r="F200" s="3" t="s">
        <v>2242</v>
      </c>
      <c r="G200" s="3" t="s">
        <v>2242</v>
      </c>
    </row>
    <row r="201" spans="1:7" ht="23.25">
      <c r="B201" s="3" t="s">
        <v>2261</v>
      </c>
      <c r="C201" s="3"/>
      <c r="D201" s="3" t="s">
        <v>1541</v>
      </c>
      <c r="E201" s="3" t="s">
        <v>2262</v>
      </c>
      <c r="F201" s="3" t="s">
        <v>2070</v>
      </c>
      <c r="G201" s="3"/>
    </row>
    <row r="202" spans="1:7" ht="34.5">
      <c r="B202" s="3" t="s">
        <v>2266</v>
      </c>
      <c r="C202" s="3"/>
      <c r="D202" s="3" t="s">
        <v>1663</v>
      </c>
      <c r="E202" s="3" t="s">
        <v>2069</v>
      </c>
      <c r="F202" s="3" t="s">
        <v>2267</v>
      </c>
      <c r="G202" s="3"/>
    </row>
    <row r="203" spans="1:7" ht="34.5">
      <c r="B203" s="3" t="s">
        <v>2279</v>
      </c>
      <c r="C203" s="3"/>
      <c r="D203" s="3" t="s">
        <v>1663</v>
      </c>
      <c r="E203" s="3" t="s">
        <v>1596</v>
      </c>
      <c r="F203" s="3" t="s">
        <v>2280</v>
      </c>
      <c r="G203" s="3"/>
    </row>
    <row r="204" spans="1:7" ht="23.25">
      <c r="B204" s="3" t="s">
        <v>2291</v>
      </c>
      <c r="C204" s="3"/>
      <c r="D204" s="3"/>
      <c r="E204" s="3" t="s">
        <v>2292</v>
      </c>
      <c r="F204" s="3" t="s">
        <v>2293</v>
      </c>
      <c r="G204" s="3" t="s">
        <v>2293</v>
      </c>
    </row>
    <row r="206" spans="1:7">
      <c r="A206" s="2" t="s">
        <v>2332</v>
      </c>
    </row>
    <row r="207" spans="1:7" ht="34.5">
      <c r="B207" s="3" t="s">
        <v>620</v>
      </c>
      <c r="C207" s="3"/>
      <c r="D207" s="3" t="s">
        <v>1637</v>
      </c>
      <c r="E207" s="3"/>
      <c r="F207" s="3" t="s">
        <v>1639</v>
      </c>
      <c r="G207" s="3"/>
    </row>
    <row r="208" spans="1:7" ht="23.25">
      <c r="B208" s="3" t="s">
        <v>1854</v>
      </c>
      <c r="C208" s="3"/>
      <c r="D208" s="3"/>
      <c r="E208" s="3"/>
      <c r="F208" s="3" t="s">
        <v>1855</v>
      </c>
      <c r="G208" s="3"/>
    </row>
    <row r="209" spans="1:7" ht="34.5">
      <c r="B209" s="3" t="s">
        <v>1303</v>
      </c>
      <c r="C209" s="3"/>
      <c r="D209" s="3" t="s">
        <v>1996</v>
      </c>
      <c r="E209" s="3"/>
      <c r="F209" s="3" t="s">
        <v>1997</v>
      </c>
      <c r="G209" s="3" t="s">
        <v>1997</v>
      </c>
    </row>
    <row r="210" spans="1:7" ht="34.5">
      <c r="B210" s="3" t="s">
        <v>2055</v>
      </c>
      <c r="C210" s="3"/>
      <c r="D210" s="3" t="s">
        <v>1552</v>
      </c>
      <c r="E210" s="3"/>
      <c r="F210" s="3" t="s">
        <v>2057</v>
      </c>
      <c r="G210" s="3" t="s">
        <v>2057</v>
      </c>
    </row>
    <row r="212" spans="1:7">
      <c r="A212" s="2" t="s">
        <v>2365</v>
      </c>
    </row>
    <row r="213" spans="1:7" ht="23.25">
      <c r="B213" s="3" t="s">
        <v>1889</v>
      </c>
      <c r="C213" s="3" t="s">
        <v>1890</v>
      </c>
      <c r="D213" s="3" t="s">
        <v>1891</v>
      </c>
      <c r="E213" s="3" t="s">
        <v>1892</v>
      </c>
      <c r="F213" s="3" t="s">
        <v>1893</v>
      </c>
      <c r="G213" s="3"/>
    </row>
    <row r="215" spans="1:7">
      <c r="A215" s="2" t="s">
        <v>2366</v>
      </c>
    </row>
    <row r="216" spans="1:7" ht="34.5">
      <c r="B216" s="3" t="s">
        <v>833</v>
      </c>
      <c r="C216" s="3" t="s">
        <v>1561</v>
      </c>
      <c r="D216" s="3" t="s">
        <v>1562</v>
      </c>
      <c r="E216" s="3" t="s">
        <v>1563</v>
      </c>
      <c r="F216" s="3" t="s">
        <v>1564</v>
      </c>
      <c r="G216" s="3" t="s">
        <v>1564</v>
      </c>
    </row>
    <row r="217" spans="1:7" ht="34.5">
      <c r="B217" s="3" t="s">
        <v>1701</v>
      </c>
      <c r="C217" s="3" t="s">
        <v>1702</v>
      </c>
      <c r="D217" s="3" t="s">
        <v>1552</v>
      </c>
      <c r="E217" s="3"/>
      <c r="F217" s="3" t="s">
        <v>1703</v>
      </c>
      <c r="G217" s="3"/>
    </row>
    <row r="218" spans="1:7" ht="34.5">
      <c r="B218" s="3" t="s">
        <v>1271</v>
      </c>
      <c r="C218" s="3" t="s">
        <v>1964</v>
      </c>
      <c r="D218" s="3" t="s">
        <v>1552</v>
      </c>
      <c r="E218" s="3"/>
      <c r="F218" s="3" t="s">
        <v>1965</v>
      </c>
      <c r="G218" s="3" t="s">
        <v>1965</v>
      </c>
    </row>
    <row r="220" spans="1:7">
      <c r="A220" s="2" t="s">
        <v>2333</v>
      </c>
    </row>
    <row r="221" spans="1:7" ht="34.5">
      <c r="B221" s="3" t="s">
        <v>1843</v>
      </c>
      <c r="C221" s="3"/>
      <c r="D221" s="3" t="s">
        <v>1552</v>
      </c>
      <c r="E221" s="3"/>
      <c r="F221" s="3" t="s">
        <v>1847</v>
      </c>
      <c r="G221" s="3" t="s">
        <v>1847</v>
      </c>
    </row>
    <row r="223" spans="1:7">
      <c r="A223" s="2" t="s">
        <v>2334</v>
      </c>
    </row>
    <row r="224" spans="1:7" ht="34.5">
      <c r="B224" s="3" t="s">
        <v>172</v>
      </c>
      <c r="C224" s="3" t="s">
        <v>1869</v>
      </c>
      <c r="D224" s="3" t="s">
        <v>1870</v>
      </c>
      <c r="E224" s="3"/>
      <c r="F224" s="3" t="s">
        <v>1871</v>
      </c>
      <c r="G224" s="3" t="s">
        <v>1871</v>
      </c>
    </row>
    <row r="225" spans="1:7" ht="23.25">
      <c r="B225" s="3" t="s">
        <v>1907</v>
      </c>
      <c r="C225" s="3"/>
      <c r="D225" s="3" t="s">
        <v>1908</v>
      </c>
      <c r="E225" s="3" t="s">
        <v>1909</v>
      </c>
      <c r="F225" s="3" t="s">
        <v>1910</v>
      </c>
      <c r="G225" s="3" t="s">
        <v>1910</v>
      </c>
    </row>
    <row r="227" spans="1:7">
      <c r="A227" s="2" t="s">
        <v>51</v>
      </c>
    </row>
    <row r="228" spans="1:7" ht="23.25">
      <c r="B228" s="3" t="s">
        <v>2005</v>
      </c>
      <c r="C228" s="3" t="s">
        <v>2006</v>
      </c>
      <c r="D228" s="3" t="s">
        <v>2007</v>
      </c>
      <c r="E228" s="3"/>
      <c r="F228" s="3" t="s">
        <v>2008</v>
      </c>
      <c r="G228" s="3" t="s">
        <v>2008</v>
      </c>
    </row>
    <row r="230" spans="1:7">
      <c r="A230" s="2" t="s">
        <v>2367</v>
      </c>
    </row>
    <row r="231" spans="1:7" ht="34.5">
      <c r="B231" s="3" t="s">
        <v>1872</v>
      </c>
      <c r="C231" s="3" t="s">
        <v>1873</v>
      </c>
      <c r="D231" s="3" t="s">
        <v>1576</v>
      </c>
      <c r="E231" s="3" t="s">
        <v>1874</v>
      </c>
      <c r="F231" s="3" t="s">
        <v>1875</v>
      </c>
      <c r="G231" s="3" t="s">
        <v>1875</v>
      </c>
    </row>
    <row r="233" spans="1:7">
      <c r="A233" s="2" t="s">
        <v>2335</v>
      </c>
    </row>
    <row r="234" spans="1:7" ht="34.5">
      <c r="B234" s="3" t="s">
        <v>1278</v>
      </c>
      <c r="C234" s="3"/>
      <c r="D234" s="3" t="s">
        <v>1552</v>
      </c>
      <c r="E234" s="3"/>
      <c r="F234" s="3" t="s">
        <v>1971</v>
      </c>
      <c r="G234" s="3" t="s">
        <v>1971</v>
      </c>
    </row>
    <row r="236" spans="1:7">
      <c r="A236" s="2" t="s">
        <v>2336</v>
      </c>
    </row>
    <row r="237" spans="1:7" ht="23.25">
      <c r="B237" s="3" t="s">
        <v>1569</v>
      </c>
      <c r="C237" s="3"/>
      <c r="D237" s="3" t="s">
        <v>1573</v>
      </c>
      <c r="E237" s="3"/>
      <c r="F237" s="3" t="s">
        <v>1575</v>
      </c>
      <c r="G237" s="3"/>
    </row>
    <row r="238" spans="1:7" ht="23.25">
      <c r="B238" s="3" t="s">
        <v>847</v>
      </c>
      <c r="C238" s="3"/>
      <c r="D238" s="3" t="s">
        <v>1552</v>
      </c>
      <c r="E238" s="3"/>
      <c r="F238" s="3" t="s">
        <v>1581</v>
      </c>
      <c r="G238" s="3" t="s">
        <v>1581</v>
      </c>
    </row>
    <row r="239" spans="1:7" ht="23.25">
      <c r="B239" s="3" t="s">
        <v>1587</v>
      </c>
      <c r="C239" s="3" t="s">
        <v>1588</v>
      </c>
      <c r="D239" s="3" t="s">
        <v>1589</v>
      </c>
      <c r="E239" s="3"/>
      <c r="F239" s="3" t="s">
        <v>1590</v>
      </c>
      <c r="G239" s="3"/>
    </row>
    <row r="240" spans="1:7" ht="34.5">
      <c r="B240" s="3" t="s">
        <v>1608</v>
      </c>
      <c r="C240" s="3" t="s">
        <v>1609</v>
      </c>
      <c r="D240" s="3" t="s">
        <v>1610</v>
      </c>
      <c r="E240" s="3"/>
      <c r="F240" s="3" t="s">
        <v>1611</v>
      </c>
      <c r="G240" s="3"/>
    </row>
    <row r="241" spans="2:7" ht="34.5">
      <c r="B241" s="3" t="s">
        <v>649</v>
      </c>
      <c r="C241" s="3"/>
      <c r="D241" s="3" t="s">
        <v>1589</v>
      </c>
      <c r="E241" s="3"/>
      <c r="F241" s="3" t="s">
        <v>1661</v>
      </c>
      <c r="G241" s="3"/>
    </row>
    <row r="242" spans="2:7" ht="45.75">
      <c r="B242" s="3" t="s">
        <v>1683</v>
      </c>
      <c r="C242" s="3"/>
      <c r="D242" s="3" t="s">
        <v>1541</v>
      </c>
      <c r="E242" s="3" t="s">
        <v>1684</v>
      </c>
      <c r="F242" s="3" t="s">
        <v>1685</v>
      </c>
      <c r="G242" s="3" t="s">
        <v>1686</v>
      </c>
    </row>
    <row r="243" spans="2:7" ht="45.75">
      <c r="B243" s="3" t="s">
        <v>926</v>
      </c>
      <c r="C243" s="3"/>
      <c r="D243" s="3" t="s">
        <v>1656</v>
      </c>
      <c r="E243" s="3"/>
      <c r="F243" s="3" t="s">
        <v>1687</v>
      </c>
      <c r="G243" s="3" t="s">
        <v>1687</v>
      </c>
    </row>
    <row r="244" spans="2:7" ht="23.25">
      <c r="B244" s="3" t="s">
        <v>1699</v>
      </c>
      <c r="C244" s="3"/>
      <c r="D244" s="3" t="s">
        <v>1589</v>
      </c>
      <c r="E244" s="3"/>
      <c r="F244" s="3" t="s">
        <v>1700</v>
      </c>
      <c r="G244" s="3"/>
    </row>
    <row r="245" spans="2:7">
      <c r="B245" s="3" t="s">
        <v>1714</v>
      </c>
      <c r="C245" s="3"/>
      <c r="D245" s="3" t="s">
        <v>1715</v>
      </c>
      <c r="E245" s="3" t="s">
        <v>1716</v>
      </c>
      <c r="F245" s="3"/>
      <c r="G245" s="3"/>
    </row>
    <row r="246" spans="2:7" ht="23.25">
      <c r="B246" s="3" t="s">
        <v>1717</v>
      </c>
      <c r="C246" s="3"/>
      <c r="D246" s="3"/>
      <c r="E246" s="3" t="s">
        <v>1718</v>
      </c>
      <c r="F246" s="3" t="s">
        <v>1719</v>
      </c>
      <c r="G246" s="3" t="s">
        <v>1719</v>
      </c>
    </row>
    <row r="247" spans="2:7" ht="23.25">
      <c r="B247" s="3" t="s">
        <v>1723</v>
      </c>
      <c r="C247" s="3"/>
      <c r="D247" s="3" t="s">
        <v>1724</v>
      </c>
      <c r="E247" s="3"/>
      <c r="F247" s="3" t="s">
        <v>1725</v>
      </c>
      <c r="G247" s="3"/>
    </row>
    <row r="248" spans="2:7" ht="45.75">
      <c r="B248" s="3" t="s">
        <v>1726</v>
      </c>
      <c r="C248" s="3"/>
      <c r="D248" s="3" t="s">
        <v>1656</v>
      </c>
      <c r="E248" s="3"/>
      <c r="F248" s="3" t="s">
        <v>1727</v>
      </c>
      <c r="G248" s="3"/>
    </row>
    <row r="249" spans="2:7" ht="57">
      <c r="B249" s="3" t="s">
        <v>1728</v>
      </c>
      <c r="C249" s="3" t="s">
        <v>1729</v>
      </c>
      <c r="D249" s="3" t="s">
        <v>1730</v>
      </c>
      <c r="E249" s="3"/>
      <c r="F249" s="3" t="s">
        <v>1731</v>
      </c>
      <c r="G249" s="3" t="s">
        <v>1731</v>
      </c>
    </row>
    <row r="250" spans="2:7" ht="45.75">
      <c r="B250" s="3" t="s">
        <v>1737</v>
      </c>
      <c r="C250" s="3"/>
      <c r="D250" s="3" t="s">
        <v>1656</v>
      </c>
      <c r="E250" s="3"/>
      <c r="F250" s="3" t="s">
        <v>1738</v>
      </c>
      <c r="G250" s="3" t="s">
        <v>1738</v>
      </c>
    </row>
    <row r="251" spans="2:7" ht="45.75">
      <c r="B251" s="3" t="s">
        <v>1739</v>
      </c>
      <c r="C251" s="3"/>
      <c r="D251" s="3" t="s">
        <v>1656</v>
      </c>
      <c r="E251" s="3"/>
      <c r="F251" s="3" t="s">
        <v>1738</v>
      </c>
      <c r="G251" s="3" t="s">
        <v>1738</v>
      </c>
    </row>
    <row r="252" spans="2:7">
      <c r="B252" s="3" t="s">
        <v>1741</v>
      </c>
      <c r="C252" s="3"/>
      <c r="D252" s="3"/>
      <c r="E252" s="3"/>
      <c r="F252" s="3"/>
      <c r="G252" s="3"/>
    </row>
    <row r="253" spans="2:7" ht="23.25">
      <c r="B253" s="3" t="s">
        <v>1745</v>
      </c>
      <c r="C253" s="3"/>
      <c r="D253" s="3"/>
      <c r="E253" s="3"/>
      <c r="F253" s="3" t="s">
        <v>1746</v>
      </c>
      <c r="G253" s="3" t="s">
        <v>1746</v>
      </c>
    </row>
    <row r="254" spans="2:7" ht="23.25">
      <c r="B254" s="3" t="s">
        <v>1752</v>
      </c>
      <c r="C254" s="3"/>
      <c r="D254" s="3" t="s">
        <v>1589</v>
      </c>
      <c r="E254" s="3"/>
      <c r="F254" s="3" t="s">
        <v>1753</v>
      </c>
      <c r="G254" s="3"/>
    </row>
    <row r="255" spans="2:7" ht="34.5">
      <c r="B255" s="3" t="s">
        <v>1754</v>
      </c>
      <c r="C255" s="3"/>
      <c r="D255" s="3" t="s">
        <v>1656</v>
      </c>
      <c r="E255" s="3" t="s">
        <v>1754</v>
      </c>
      <c r="F255" s="3" t="s">
        <v>1755</v>
      </c>
      <c r="G255" s="3"/>
    </row>
    <row r="256" spans="2:7" ht="34.5">
      <c r="B256" s="3" t="s">
        <v>1759</v>
      </c>
      <c r="C256" s="3"/>
      <c r="D256" s="3" t="s">
        <v>1656</v>
      </c>
      <c r="E256" s="3"/>
      <c r="F256" s="3" t="s">
        <v>1760</v>
      </c>
      <c r="G256" s="3" t="s">
        <v>1760</v>
      </c>
    </row>
    <row r="257" spans="2:7" ht="34.5">
      <c r="B257" s="3" t="s">
        <v>1766</v>
      </c>
      <c r="C257" s="3"/>
      <c r="D257" s="3" t="s">
        <v>1589</v>
      </c>
      <c r="E257" s="3" t="s">
        <v>1766</v>
      </c>
      <c r="F257" s="3" t="s">
        <v>1767</v>
      </c>
      <c r="G257" s="3" t="s">
        <v>1767</v>
      </c>
    </row>
    <row r="258" spans="2:7" ht="34.5">
      <c r="B258" s="3" t="s">
        <v>1771</v>
      </c>
      <c r="C258" s="3"/>
      <c r="D258" s="3" t="s">
        <v>1541</v>
      </c>
      <c r="E258" s="3" t="s">
        <v>1596</v>
      </c>
      <c r="F258" s="3" t="s">
        <v>1772</v>
      </c>
      <c r="G258" s="3"/>
    </row>
    <row r="259" spans="2:7" ht="23.25">
      <c r="B259" s="3" t="s">
        <v>1783</v>
      </c>
      <c r="C259" s="3"/>
      <c r="D259" s="3" t="s">
        <v>1656</v>
      </c>
      <c r="E259" s="3" t="s">
        <v>1596</v>
      </c>
      <c r="F259" s="3" t="s">
        <v>1784</v>
      </c>
      <c r="G259" s="3"/>
    </row>
    <row r="260" spans="2:7">
      <c r="B260" s="3" t="s">
        <v>1058</v>
      </c>
      <c r="C260" s="3"/>
      <c r="D260" s="3" t="s">
        <v>1807</v>
      </c>
      <c r="E260" s="3" t="s">
        <v>1808</v>
      </c>
      <c r="F260" s="3" t="s">
        <v>1809</v>
      </c>
      <c r="G260" s="3" t="s">
        <v>1809</v>
      </c>
    </row>
    <row r="261" spans="2:7">
      <c r="B261" s="3" t="s">
        <v>1064</v>
      </c>
      <c r="C261" s="3"/>
      <c r="D261" s="3" t="s">
        <v>1816</v>
      </c>
      <c r="E261" s="3"/>
      <c r="F261" s="3"/>
      <c r="G261" s="3"/>
    </row>
    <row r="262" spans="2:7" ht="34.5">
      <c r="B262" s="3" t="s">
        <v>1822</v>
      </c>
      <c r="C262" s="3"/>
      <c r="D262" s="3" t="s">
        <v>1541</v>
      </c>
      <c r="E262" s="3"/>
      <c r="F262" s="3" t="s">
        <v>1823</v>
      </c>
      <c r="G262" s="3"/>
    </row>
    <row r="263" spans="2:7" ht="34.5">
      <c r="B263" s="3" t="s">
        <v>1827</v>
      </c>
      <c r="C263" s="3"/>
      <c r="D263" s="3" t="s">
        <v>1663</v>
      </c>
      <c r="E263" s="3" t="s">
        <v>1828</v>
      </c>
      <c r="F263" s="3" t="s">
        <v>1829</v>
      </c>
      <c r="G263" s="3" t="s">
        <v>1829</v>
      </c>
    </row>
    <row r="264" spans="2:7" ht="45.75">
      <c r="B264" s="3" t="s">
        <v>1830</v>
      </c>
      <c r="C264" s="3"/>
      <c r="D264" s="3" t="s">
        <v>1541</v>
      </c>
      <c r="E264" s="3" t="s">
        <v>1596</v>
      </c>
      <c r="F264" s="3" t="s">
        <v>1831</v>
      </c>
      <c r="G264" s="3"/>
    </row>
    <row r="265" spans="2:7">
      <c r="B265" s="3" t="s">
        <v>1834</v>
      </c>
      <c r="C265" s="3"/>
      <c r="D265" s="3"/>
      <c r="E265" s="3"/>
      <c r="F265" s="3"/>
      <c r="G265" s="3"/>
    </row>
    <row r="266" spans="2:7" ht="23.25">
      <c r="B266" s="3" t="s">
        <v>1839</v>
      </c>
      <c r="C266" s="3"/>
      <c r="D266" s="3" t="s">
        <v>1656</v>
      </c>
      <c r="E266" s="3"/>
      <c r="F266" s="3" t="s">
        <v>1840</v>
      </c>
      <c r="G266" s="3" t="s">
        <v>1840</v>
      </c>
    </row>
    <row r="267" spans="2:7" ht="23.25">
      <c r="B267" s="3" t="s">
        <v>156</v>
      </c>
      <c r="C267" s="3"/>
      <c r="D267" s="3" t="s">
        <v>1841</v>
      </c>
      <c r="E267" s="3"/>
      <c r="F267" s="3" t="s">
        <v>1842</v>
      </c>
      <c r="G267" s="3" t="s">
        <v>1842</v>
      </c>
    </row>
    <row r="268" spans="2:7">
      <c r="B268" s="3" t="s">
        <v>1105</v>
      </c>
      <c r="C268" s="3"/>
      <c r="D268" s="3"/>
      <c r="E268" s="3"/>
      <c r="F268" s="3"/>
      <c r="G268" s="3"/>
    </row>
    <row r="269" spans="2:7" ht="34.5">
      <c r="B269" s="3" t="s">
        <v>1876</v>
      </c>
      <c r="C269" s="3"/>
      <c r="D269" s="3" t="s">
        <v>1541</v>
      </c>
      <c r="E269" s="3" t="s">
        <v>1596</v>
      </c>
      <c r="F269" s="3" t="s">
        <v>1877</v>
      </c>
      <c r="G269" s="3"/>
    </row>
    <row r="270" spans="2:7" ht="34.5">
      <c r="B270" s="3" t="s">
        <v>1880</v>
      </c>
      <c r="C270" s="3"/>
      <c r="D270" s="3" t="s">
        <v>1656</v>
      </c>
      <c r="E270" s="3"/>
      <c r="F270" s="3" t="s">
        <v>1881</v>
      </c>
      <c r="G270" s="3"/>
    </row>
    <row r="271" spans="2:7">
      <c r="B271" s="3" t="s">
        <v>1894</v>
      </c>
      <c r="C271" s="3"/>
      <c r="D271" s="3"/>
      <c r="E271" s="3"/>
      <c r="F271" s="3"/>
      <c r="G271" s="3"/>
    </row>
    <row r="272" spans="2:7">
      <c r="B272" s="3" t="s">
        <v>1895</v>
      </c>
      <c r="C272" s="3"/>
      <c r="D272" s="3" t="s">
        <v>1896</v>
      </c>
      <c r="E272" s="3" t="s">
        <v>1897</v>
      </c>
      <c r="F272" s="3"/>
      <c r="G272" s="3"/>
    </row>
    <row r="273" spans="2:7">
      <c r="B273" s="3" t="s">
        <v>1898</v>
      </c>
      <c r="C273" s="3"/>
      <c r="D273" s="3" t="s">
        <v>1899</v>
      </c>
      <c r="E273" s="3" t="s">
        <v>1900</v>
      </c>
      <c r="F273" s="3"/>
      <c r="G273" s="3"/>
    </row>
    <row r="274" spans="2:7">
      <c r="B274" s="3" t="s">
        <v>1901</v>
      </c>
      <c r="C274" s="3"/>
      <c r="D274" s="3" t="s">
        <v>1902</v>
      </c>
      <c r="E274" s="3" t="s">
        <v>1903</v>
      </c>
      <c r="F274" s="3"/>
      <c r="G274" s="3"/>
    </row>
    <row r="275" spans="2:7">
      <c r="B275" s="3" t="s">
        <v>1904</v>
      </c>
      <c r="C275" s="3"/>
      <c r="D275" s="3" t="s">
        <v>1905</v>
      </c>
      <c r="E275" s="3" t="s">
        <v>1906</v>
      </c>
      <c r="F275" s="3"/>
      <c r="G275" s="3"/>
    </row>
    <row r="276" spans="2:7">
      <c r="B276" s="3" t="s">
        <v>1911</v>
      </c>
      <c r="C276" s="3"/>
      <c r="D276" s="3" t="s">
        <v>1912</v>
      </c>
      <c r="E276" s="3" t="s">
        <v>1913</v>
      </c>
      <c r="F276" s="3"/>
      <c r="G276" s="3"/>
    </row>
    <row r="277" spans="2:7">
      <c r="B277" s="3" t="s">
        <v>1914</v>
      </c>
      <c r="C277" s="3"/>
      <c r="D277" s="3"/>
      <c r="E277" s="3"/>
      <c r="F277" s="3"/>
      <c r="G277" s="3"/>
    </row>
    <row r="278" spans="2:7">
      <c r="B278" s="3" t="s">
        <v>1915</v>
      </c>
      <c r="C278" s="3"/>
      <c r="D278" s="3" t="s">
        <v>1916</v>
      </c>
      <c r="E278" s="3" t="s">
        <v>1917</v>
      </c>
      <c r="F278" s="3"/>
      <c r="G278" s="3"/>
    </row>
    <row r="279" spans="2:7" ht="34.5">
      <c r="B279" s="3" t="s">
        <v>1918</v>
      </c>
      <c r="C279" s="3"/>
      <c r="D279" s="3" t="s">
        <v>1656</v>
      </c>
      <c r="E279" s="3" t="s">
        <v>1918</v>
      </c>
      <c r="F279" s="3" t="s">
        <v>1919</v>
      </c>
      <c r="G279" s="3"/>
    </row>
    <row r="280" spans="2:7">
      <c r="B280" s="3" t="s">
        <v>1924</v>
      </c>
      <c r="C280" s="3"/>
      <c r="D280" s="3" t="s">
        <v>1552</v>
      </c>
      <c r="E280" s="3"/>
      <c r="F280" s="3"/>
      <c r="G280" s="3"/>
    </row>
    <row r="281" spans="2:7">
      <c r="B281" s="3" t="s">
        <v>1931</v>
      </c>
      <c r="C281" s="3"/>
      <c r="D281" s="3" t="s">
        <v>1541</v>
      </c>
      <c r="E281" s="3" t="s">
        <v>1596</v>
      </c>
      <c r="F281" s="3"/>
      <c r="G281" s="3"/>
    </row>
    <row r="282" spans="2:7" ht="34.5">
      <c r="B282" s="3" t="s">
        <v>1942</v>
      </c>
      <c r="C282" s="3"/>
      <c r="D282" s="3" t="s">
        <v>1656</v>
      </c>
      <c r="E282" s="3" t="s">
        <v>1943</v>
      </c>
      <c r="F282" s="3" t="s">
        <v>1944</v>
      </c>
      <c r="G282" s="3"/>
    </row>
    <row r="283" spans="2:7" ht="23.25">
      <c r="B283" s="3" t="s">
        <v>1949</v>
      </c>
      <c r="C283" s="3"/>
      <c r="D283" s="3" t="s">
        <v>1950</v>
      </c>
      <c r="E283" s="3"/>
      <c r="F283" s="3" t="s">
        <v>1951</v>
      </c>
      <c r="G283" s="3"/>
    </row>
    <row r="284" spans="2:7">
      <c r="B284" s="3" t="s">
        <v>1957</v>
      </c>
      <c r="C284" s="3"/>
      <c r="D284" s="3"/>
      <c r="E284" s="3"/>
      <c r="F284" s="3"/>
      <c r="G284" s="3"/>
    </row>
    <row r="285" spans="2:7" ht="45.75">
      <c r="B285" s="3" t="s">
        <v>1958</v>
      </c>
      <c r="C285" s="3"/>
      <c r="D285" s="3" t="s">
        <v>1656</v>
      </c>
      <c r="E285" s="3" t="s">
        <v>1596</v>
      </c>
      <c r="F285" s="3" t="s">
        <v>1959</v>
      </c>
      <c r="G285" s="3"/>
    </row>
    <row r="286" spans="2:7">
      <c r="B286" s="3" t="s">
        <v>1222</v>
      </c>
      <c r="C286" s="3"/>
      <c r="D286" s="3" t="s">
        <v>1552</v>
      </c>
      <c r="E286" s="3"/>
      <c r="F286" s="3"/>
      <c r="G286" s="3"/>
    </row>
    <row r="287" spans="2:7" ht="34.5">
      <c r="B287" s="3" t="s">
        <v>1275</v>
      </c>
      <c r="C287" s="3" t="s">
        <v>1968</v>
      </c>
      <c r="D287" s="3" t="s">
        <v>1969</v>
      </c>
      <c r="E287" s="3"/>
      <c r="F287" s="3" t="s">
        <v>1970</v>
      </c>
      <c r="G287" s="3" t="s">
        <v>1970</v>
      </c>
    </row>
    <row r="288" spans="2:7">
      <c r="B288" s="3" t="s">
        <v>1289</v>
      </c>
      <c r="C288" s="3"/>
      <c r="D288" s="3"/>
      <c r="E288" s="3"/>
      <c r="F288" s="3"/>
      <c r="G288" s="3"/>
    </row>
    <row r="289" spans="2:7" ht="34.5">
      <c r="B289" s="3" t="s">
        <v>1992</v>
      </c>
      <c r="C289" s="3"/>
      <c r="D289" s="3" t="s">
        <v>1541</v>
      </c>
      <c r="E289" s="3" t="s">
        <v>1596</v>
      </c>
      <c r="F289" s="3" t="s">
        <v>1993</v>
      </c>
      <c r="G289" s="3"/>
    </row>
    <row r="290" spans="2:7" ht="45.75">
      <c r="B290" s="3" t="s">
        <v>1998</v>
      </c>
      <c r="C290" s="3"/>
      <c r="D290" s="3" t="s">
        <v>1656</v>
      </c>
      <c r="E290" s="3" t="s">
        <v>1998</v>
      </c>
      <c r="F290" s="3" t="s">
        <v>1999</v>
      </c>
      <c r="G290" s="3"/>
    </row>
    <row r="291" spans="2:7" ht="23.25">
      <c r="B291" s="3" t="s">
        <v>2000</v>
      </c>
      <c r="C291" s="3"/>
      <c r="D291" s="3"/>
      <c r="E291" s="3"/>
      <c r="F291" s="3" t="s">
        <v>2001</v>
      </c>
      <c r="G291" s="3"/>
    </row>
    <row r="292" spans="2:7" ht="23.25">
      <c r="B292" s="3" t="s">
        <v>1329</v>
      </c>
      <c r="C292" s="3"/>
      <c r="D292" s="3" t="s">
        <v>1552</v>
      </c>
      <c r="E292" s="3"/>
      <c r="F292" s="3" t="s">
        <v>2025</v>
      </c>
      <c r="G292" s="3"/>
    </row>
    <row r="293" spans="2:7" ht="23.25">
      <c r="B293" s="3" t="s">
        <v>2026</v>
      </c>
      <c r="C293" s="3"/>
      <c r="D293" s="3" t="s">
        <v>1656</v>
      </c>
      <c r="E293" s="3" t="s">
        <v>553</v>
      </c>
      <c r="F293" s="3" t="s">
        <v>2027</v>
      </c>
      <c r="G293" s="3"/>
    </row>
    <row r="294" spans="2:7" ht="34.5">
      <c r="B294" s="3" t="s">
        <v>2041</v>
      </c>
      <c r="C294" s="3"/>
      <c r="D294" s="3" t="s">
        <v>2042</v>
      </c>
      <c r="E294" s="3"/>
      <c r="F294" s="3" t="s">
        <v>2043</v>
      </c>
      <c r="G294" s="3" t="s">
        <v>2043</v>
      </c>
    </row>
    <row r="295" spans="2:7" ht="23.25">
      <c r="B295" s="3" t="s">
        <v>2046</v>
      </c>
      <c r="C295" s="3"/>
      <c r="D295" s="3" t="s">
        <v>2047</v>
      </c>
      <c r="E295" s="3"/>
      <c r="F295" s="3" t="s">
        <v>2048</v>
      </c>
      <c r="G295" s="3" t="s">
        <v>2048</v>
      </c>
    </row>
    <row r="296" spans="2:7">
      <c r="B296" s="3" t="s">
        <v>2054</v>
      </c>
      <c r="C296" s="3"/>
      <c r="D296" s="3"/>
      <c r="E296" s="3"/>
      <c r="F296" s="3"/>
      <c r="G296" s="3"/>
    </row>
    <row r="297" spans="2:7">
      <c r="B297" s="3" t="s">
        <v>2067</v>
      </c>
      <c r="C297" s="3"/>
      <c r="D297" s="3"/>
      <c r="E297" s="3"/>
      <c r="F297" s="3"/>
      <c r="G297" s="3"/>
    </row>
    <row r="298" spans="2:7" ht="34.5">
      <c r="B298" s="3" t="s">
        <v>2073</v>
      </c>
      <c r="C298" s="3"/>
      <c r="D298" s="3" t="s">
        <v>1663</v>
      </c>
      <c r="E298" s="3" t="s">
        <v>2069</v>
      </c>
      <c r="F298" s="3" t="s">
        <v>2074</v>
      </c>
      <c r="G298" s="3"/>
    </row>
    <row r="299" spans="2:7" ht="34.5">
      <c r="B299" s="3" t="s">
        <v>2075</v>
      </c>
      <c r="C299" s="3"/>
      <c r="D299" s="3" t="s">
        <v>1663</v>
      </c>
      <c r="E299" s="3" t="s">
        <v>2069</v>
      </c>
      <c r="F299" s="3" t="s">
        <v>2076</v>
      </c>
      <c r="G299" s="3"/>
    </row>
    <row r="300" spans="2:7" ht="34.5">
      <c r="B300" s="3" t="s">
        <v>2079</v>
      </c>
      <c r="C300" s="3"/>
      <c r="D300" s="3" t="s">
        <v>1663</v>
      </c>
      <c r="E300" s="3" t="s">
        <v>2069</v>
      </c>
      <c r="F300" s="3" t="s">
        <v>2080</v>
      </c>
      <c r="G300" s="3"/>
    </row>
    <row r="301" spans="2:7" ht="34.5">
      <c r="B301" s="3" t="s">
        <v>2081</v>
      </c>
      <c r="C301" s="3"/>
      <c r="D301" s="3" t="s">
        <v>1663</v>
      </c>
      <c r="E301" s="3" t="s">
        <v>2069</v>
      </c>
      <c r="F301" s="3" t="s">
        <v>2082</v>
      </c>
      <c r="G301" s="3" t="s">
        <v>2082</v>
      </c>
    </row>
    <row r="302" spans="2:7" ht="34.5">
      <c r="B302" s="3" t="s">
        <v>2085</v>
      </c>
      <c r="C302" s="3"/>
      <c r="D302" s="3"/>
      <c r="E302" s="3" t="s">
        <v>2069</v>
      </c>
      <c r="F302" s="3" t="s">
        <v>2086</v>
      </c>
      <c r="G302" s="3"/>
    </row>
    <row r="303" spans="2:7" ht="34.5">
      <c r="B303" s="3" t="s">
        <v>2091</v>
      </c>
      <c r="C303" s="3"/>
      <c r="D303" s="3" t="s">
        <v>1663</v>
      </c>
      <c r="E303" s="3" t="s">
        <v>2069</v>
      </c>
      <c r="F303" s="3" t="s">
        <v>2092</v>
      </c>
      <c r="G303" s="3"/>
    </row>
    <row r="304" spans="2:7" ht="34.5">
      <c r="B304" s="3" t="s">
        <v>2093</v>
      </c>
      <c r="C304" s="3"/>
      <c r="D304" s="3" t="s">
        <v>1663</v>
      </c>
      <c r="E304" s="3" t="s">
        <v>2069</v>
      </c>
      <c r="F304" s="3" t="s">
        <v>2094</v>
      </c>
      <c r="G304" s="3" t="s">
        <v>2094</v>
      </c>
    </row>
    <row r="305" spans="2:7" ht="34.5">
      <c r="B305" s="3" t="s">
        <v>2095</v>
      </c>
      <c r="C305" s="3"/>
      <c r="D305" s="3" t="s">
        <v>1663</v>
      </c>
      <c r="E305" s="3" t="s">
        <v>2069</v>
      </c>
      <c r="F305" s="3" t="s">
        <v>2096</v>
      </c>
      <c r="G305" s="3"/>
    </row>
    <row r="306" spans="2:7" ht="34.5">
      <c r="B306" s="3" t="s">
        <v>2097</v>
      </c>
      <c r="C306" s="3"/>
      <c r="D306" s="3" t="s">
        <v>1663</v>
      </c>
      <c r="E306" s="3" t="s">
        <v>2069</v>
      </c>
      <c r="F306" s="3" t="s">
        <v>2098</v>
      </c>
      <c r="G306" s="3" t="s">
        <v>2098</v>
      </c>
    </row>
    <row r="307" spans="2:7" ht="34.5">
      <c r="B307" s="3" t="s">
        <v>2099</v>
      </c>
      <c r="C307" s="3"/>
      <c r="D307" s="3" t="s">
        <v>1663</v>
      </c>
      <c r="E307" s="3" t="s">
        <v>2069</v>
      </c>
      <c r="F307" s="3" t="s">
        <v>2100</v>
      </c>
      <c r="G307" s="3" t="s">
        <v>2100</v>
      </c>
    </row>
    <row r="308" spans="2:7" ht="34.5">
      <c r="B308" s="3" t="s">
        <v>2101</v>
      </c>
      <c r="C308" s="3"/>
      <c r="D308" s="3" t="s">
        <v>1663</v>
      </c>
      <c r="E308" s="3" t="s">
        <v>2069</v>
      </c>
      <c r="F308" s="3" t="s">
        <v>2102</v>
      </c>
      <c r="G308" s="3" t="s">
        <v>2102</v>
      </c>
    </row>
    <row r="309" spans="2:7" ht="34.5">
      <c r="B309" s="3" t="s">
        <v>2103</v>
      </c>
      <c r="C309" s="3"/>
      <c r="D309" s="3" t="s">
        <v>1663</v>
      </c>
      <c r="E309" s="3" t="s">
        <v>2069</v>
      </c>
      <c r="F309" s="3" t="s">
        <v>2104</v>
      </c>
      <c r="G309" s="3" t="s">
        <v>2104</v>
      </c>
    </row>
    <row r="310" spans="2:7" ht="34.5">
      <c r="B310" s="3" t="s">
        <v>2105</v>
      </c>
      <c r="C310" s="3"/>
      <c r="D310" s="3" t="s">
        <v>1663</v>
      </c>
      <c r="E310" s="3" t="s">
        <v>2069</v>
      </c>
      <c r="F310" s="3" t="s">
        <v>2106</v>
      </c>
      <c r="G310" s="3" t="s">
        <v>2106</v>
      </c>
    </row>
    <row r="311" spans="2:7" ht="34.5">
      <c r="B311" s="3" t="s">
        <v>2107</v>
      </c>
      <c r="C311" s="3"/>
      <c r="D311" s="3"/>
      <c r="E311" s="3" t="s">
        <v>2069</v>
      </c>
      <c r="F311" s="3" t="s">
        <v>2108</v>
      </c>
      <c r="G311" s="3" t="s">
        <v>2108</v>
      </c>
    </row>
    <row r="312" spans="2:7" ht="34.5">
      <c r="B312" s="3" t="s">
        <v>2109</v>
      </c>
      <c r="C312" s="3"/>
      <c r="D312" s="3" t="s">
        <v>1663</v>
      </c>
      <c r="E312" s="3" t="s">
        <v>2069</v>
      </c>
      <c r="F312" s="3" t="s">
        <v>2110</v>
      </c>
      <c r="G312" s="3" t="s">
        <v>2110</v>
      </c>
    </row>
    <row r="313" spans="2:7" ht="34.5">
      <c r="B313" s="3" t="s">
        <v>2111</v>
      </c>
      <c r="C313" s="3"/>
      <c r="D313" s="3" t="s">
        <v>1663</v>
      </c>
      <c r="E313" s="3" t="s">
        <v>2069</v>
      </c>
      <c r="F313" s="3" t="s">
        <v>2112</v>
      </c>
      <c r="G313" s="3" t="s">
        <v>2112</v>
      </c>
    </row>
    <row r="314" spans="2:7" ht="34.5">
      <c r="B314" s="3" t="s">
        <v>2113</v>
      </c>
      <c r="C314" s="3"/>
      <c r="D314" s="3" t="s">
        <v>1663</v>
      </c>
      <c r="E314" s="3" t="s">
        <v>2069</v>
      </c>
      <c r="F314" s="3" t="s">
        <v>2114</v>
      </c>
      <c r="G314" s="3" t="s">
        <v>2114</v>
      </c>
    </row>
    <row r="315" spans="2:7" ht="34.5">
      <c r="B315" s="3" t="s">
        <v>2115</v>
      </c>
      <c r="C315" s="3"/>
      <c r="D315" s="3" t="s">
        <v>1663</v>
      </c>
      <c r="E315" s="3" t="s">
        <v>2069</v>
      </c>
      <c r="F315" s="3" t="s">
        <v>2116</v>
      </c>
      <c r="G315" s="3" t="s">
        <v>2116</v>
      </c>
    </row>
    <row r="316" spans="2:7" ht="34.5">
      <c r="B316" s="3" t="s">
        <v>2117</v>
      </c>
      <c r="C316" s="3"/>
      <c r="D316" s="3" t="s">
        <v>1663</v>
      </c>
      <c r="E316" s="3" t="s">
        <v>2069</v>
      </c>
      <c r="F316" s="3" t="s">
        <v>2118</v>
      </c>
      <c r="G316" s="3" t="s">
        <v>2118</v>
      </c>
    </row>
    <row r="317" spans="2:7" ht="34.5">
      <c r="B317" s="3" t="s">
        <v>2119</v>
      </c>
      <c r="C317" s="3"/>
      <c r="D317" s="3" t="s">
        <v>1663</v>
      </c>
      <c r="E317" s="3" t="s">
        <v>2069</v>
      </c>
      <c r="F317" s="3" t="s">
        <v>2120</v>
      </c>
      <c r="G317" s="3" t="s">
        <v>2120</v>
      </c>
    </row>
    <row r="318" spans="2:7" ht="34.5">
      <c r="B318" s="3" t="s">
        <v>2121</v>
      </c>
      <c r="C318" s="3"/>
      <c r="D318" s="3" t="s">
        <v>1663</v>
      </c>
      <c r="E318" s="3" t="s">
        <v>2069</v>
      </c>
      <c r="F318" s="3" t="s">
        <v>2122</v>
      </c>
      <c r="G318" s="3" t="s">
        <v>2122</v>
      </c>
    </row>
    <row r="319" spans="2:7" ht="34.5">
      <c r="B319" s="3" t="s">
        <v>2123</v>
      </c>
      <c r="C319" s="3"/>
      <c r="D319" s="3"/>
      <c r="E319" s="3" t="s">
        <v>2069</v>
      </c>
      <c r="F319" s="3" t="s">
        <v>2124</v>
      </c>
      <c r="G319" s="3"/>
    </row>
    <row r="320" spans="2:7" ht="34.5">
      <c r="B320" s="3" t="s">
        <v>2125</v>
      </c>
      <c r="C320" s="3"/>
      <c r="D320" s="3" t="s">
        <v>1663</v>
      </c>
      <c r="E320" s="3" t="s">
        <v>2069</v>
      </c>
      <c r="F320" s="3" t="s">
        <v>2126</v>
      </c>
      <c r="G320" s="3" t="s">
        <v>2126</v>
      </c>
    </row>
    <row r="321" spans="2:7" ht="34.5">
      <c r="B321" s="3" t="s">
        <v>2127</v>
      </c>
      <c r="C321" s="3"/>
      <c r="D321" s="3" t="s">
        <v>1663</v>
      </c>
      <c r="E321" s="3" t="s">
        <v>2069</v>
      </c>
      <c r="F321" s="3" t="s">
        <v>2128</v>
      </c>
      <c r="G321" s="3" t="s">
        <v>2128</v>
      </c>
    </row>
    <row r="322" spans="2:7" ht="34.5">
      <c r="B322" s="3" t="s">
        <v>2129</v>
      </c>
      <c r="C322" s="3"/>
      <c r="D322" s="3" t="s">
        <v>1663</v>
      </c>
      <c r="E322" s="3" t="s">
        <v>2069</v>
      </c>
      <c r="F322" s="3" t="s">
        <v>2130</v>
      </c>
      <c r="G322" s="3" t="s">
        <v>2130</v>
      </c>
    </row>
    <row r="323" spans="2:7" ht="34.5">
      <c r="B323" s="3" t="s">
        <v>2131</v>
      </c>
      <c r="C323" s="3"/>
      <c r="D323" s="3" t="s">
        <v>1663</v>
      </c>
      <c r="E323" s="3" t="s">
        <v>2069</v>
      </c>
      <c r="F323" s="3" t="s">
        <v>2132</v>
      </c>
      <c r="G323" s="3" t="s">
        <v>2132</v>
      </c>
    </row>
    <row r="324" spans="2:7" ht="34.5">
      <c r="B324" s="3" t="s">
        <v>2133</v>
      </c>
      <c r="C324" s="3"/>
      <c r="D324" s="3" t="s">
        <v>1663</v>
      </c>
      <c r="E324" s="3" t="s">
        <v>2069</v>
      </c>
      <c r="F324" s="3" t="s">
        <v>2134</v>
      </c>
      <c r="G324" s="3" t="s">
        <v>2134</v>
      </c>
    </row>
    <row r="325" spans="2:7" ht="34.5">
      <c r="B325" s="3" t="s">
        <v>2135</v>
      </c>
      <c r="C325" s="3"/>
      <c r="D325" s="3" t="s">
        <v>1663</v>
      </c>
      <c r="E325" s="3" t="s">
        <v>2069</v>
      </c>
      <c r="F325" s="3" t="s">
        <v>2136</v>
      </c>
      <c r="G325" s="3"/>
    </row>
    <row r="326" spans="2:7" ht="34.5">
      <c r="B326" s="3" t="s">
        <v>2137</v>
      </c>
      <c r="C326" s="3"/>
      <c r="D326" s="3" t="s">
        <v>1663</v>
      </c>
      <c r="E326" s="3" t="s">
        <v>2069</v>
      </c>
      <c r="F326" s="3" t="s">
        <v>2138</v>
      </c>
      <c r="G326" s="3" t="s">
        <v>2138</v>
      </c>
    </row>
    <row r="327" spans="2:7" ht="34.5">
      <c r="B327" s="3" t="s">
        <v>2139</v>
      </c>
      <c r="C327" s="3"/>
      <c r="D327" s="3" t="s">
        <v>1663</v>
      </c>
      <c r="E327" s="3" t="s">
        <v>2069</v>
      </c>
      <c r="F327" s="3" t="s">
        <v>2140</v>
      </c>
      <c r="G327" s="3" t="s">
        <v>2140</v>
      </c>
    </row>
    <row r="328" spans="2:7" ht="34.5">
      <c r="B328" s="3" t="s">
        <v>2143</v>
      </c>
      <c r="C328" s="3"/>
      <c r="D328" s="3" t="s">
        <v>1656</v>
      </c>
      <c r="E328" s="3" t="s">
        <v>2069</v>
      </c>
      <c r="F328" s="3" t="s">
        <v>2144</v>
      </c>
      <c r="G328" s="3" t="s">
        <v>2144</v>
      </c>
    </row>
    <row r="329" spans="2:7" ht="34.5">
      <c r="B329" s="3" t="s">
        <v>2141</v>
      </c>
      <c r="C329" s="3"/>
      <c r="D329" s="3" t="s">
        <v>1663</v>
      </c>
      <c r="E329" s="3" t="s">
        <v>2069</v>
      </c>
      <c r="F329" s="3" t="s">
        <v>2142</v>
      </c>
      <c r="G329" s="3" t="s">
        <v>2142</v>
      </c>
    </row>
    <row r="330" spans="2:7" ht="34.5">
      <c r="B330" s="3" t="s">
        <v>2145</v>
      </c>
      <c r="C330" s="3"/>
      <c r="D330" s="3" t="s">
        <v>1663</v>
      </c>
      <c r="E330" s="3" t="s">
        <v>2069</v>
      </c>
      <c r="F330" s="3" t="s">
        <v>2146</v>
      </c>
      <c r="G330" s="3" t="s">
        <v>2146</v>
      </c>
    </row>
    <row r="331" spans="2:7" ht="34.5">
      <c r="B331" s="3" t="s">
        <v>2147</v>
      </c>
      <c r="C331" s="3"/>
      <c r="D331" s="3" t="s">
        <v>1663</v>
      </c>
      <c r="E331" s="3" t="s">
        <v>2069</v>
      </c>
      <c r="F331" s="3" t="s">
        <v>2148</v>
      </c>
      <c r="G331" s="3" t="s">
        <v>2148</v>
      </c>
    </row>
    <row r="332" spans="2:7" ht="45.75">
      <c r="B332" s="3" t="s">
        <v>2151</v>
      </c>
      <c r="C332" s="3"/>
      <c r="D332" s="3" t="s">
        <v>1663</v>
      </c>
      <c r="E332" s="3" t="s">
        <v>2069</v>
      </c>
      <c r="F332" s="3" t="s">
        <v>2152</v>
      </c>
      <c r="G332" s="3" t="s">
        <v>2152</v>
      </c>
    </row>
    <row r="333" spans="2:7" ht="34.5">
      <c r="B333" s="3" t="s">
        <v>2153</v>
      </c>
      <c r="C333" s="3"/>
      <c r="D333" s="3" t="s">
        <v>1663</v>
      </c>
      <c r="E333" s="3" t="s">
        <v>2069</v>
      </c>
      <c r="F333" s="3" t="s">
        <v>2154</v>
      </c>
      <c r="G333" s="3"/>
    </row>
    <row r="334" spans="2:7" ht="34.5">
      <c r="B334" s="3" t="s">
        <v>2155</v>
      </c>
      <c r="C334" s="3"/>
      <c r="D334" s="3" t="s">
        <v>1663</v>
      </c>
      <c r="E334" s="3" t="s">
        <v>2069</v>
      </c>
      <c r="F334" s="3" t="s">
        <v>2156</v>
      </c>
      <c r="G334" s="3" t="s">
        <v>2156</v>
      </c>
    </row>
    <row r="335" spans="2:7" ht="34.5">
      <c r="B335" s="3" t="s">
        <v>2157</v>
      </c>
      <c r="C335" s="3"/>
      <c r="D335" s="3" t="s">
        <v>1663</v>
      </c>
      <c r="E335" s="3" t="s">
        <v>2069</v>
      </c>
      <c r="F335" s="3" t="s">
        <v>2158</v>
      </c>
      <c r="G335" s="3" t="s">
        <v>2158</v>
      </c>
    </row>
    <row r="336" spans="2:7" ht="34.5">
      <c r="B336" s="3" t="s">
        <v>2159</v>
      </c>
      <c r="C336" s="3"/>
      <c r="D336" s="3" t="s">
        <v>1663</v>
      </c>
      <c r="E336" s="3" t="s">
        <v>2069</v>
      </c>
      <c r="F336" s="3" t="s">
        <v>2160</v>
      </c>
      <c r="G336" s="3" t="s">
        <v>2160</v>
      </c>
    </row>
    <row r="337" spans="2:7" ht="34.5">
      <c r="B337" s="3" t="s">
        <v>2161</v>
      </c>
      <c r="C337" s="3"/>
      <c r="D337" s="3" t="s">
        <v>1663</v>
      </c>
      <c r="E337" s="3" t="s">
        <v>2069</v>
      </c>
      <c r="F337" s="3" t="s">
        <v>2162</v>
      </c>
      <c r="G337" s="3" t="s">
        <v>2162</v>
      </c>
    </row>
    <row r="338" spans="2:7" ht="34.5">
      <c r="B338" s="3" t="s">
        <v>2163</v>
      </c>
      <c r="C338" s="3"/>
      <c r="D338" s="3" t="s">
        <v>1663</v>
      </c>
      <c r="E338" s="3" t="s">
        <v>2069</v>
      </c>
      <c r="F338" s="3" t="s">
        <v>2164</v>
      </c>
      <c r="G338" s="3" t="s">
        <v>2164</v>
      </c>
    </row>
    <row r="339" spans="2:7" ht="34.5">
      <c r="B339" s="3" t="s">
        <v>2165</v>
      </c>
      <c r="C339" s="3"/>
      <c r="D339" s="3" t="s">
        <v>1656</v>
      </c>
      <c r="E339" s="3" t="s">
        <v>2069</v>
      </c>
      <c r="F339" s="3" t="s">
        <v>2166</v>
      </c>
      <c r="G339" s="3" t="s">
        <v>2166</v>
      </c>
    </row>
    <row r="340" spans="2:7" ht="34.5">
      <c r="B340" s="3" t="s">
        <v>2167</v>
      </c>
      <c r="C340" s="3"/>
      <c r="D340" s="3" t="s">
        <v>1663</v>
      </c>
      <c r="E340" s="3" t="s">
        <v>2069</v>
      </c>
      <c r="F340" s="3" t="s">
        <v>2168</v>
      </c>
      <c r="G340" s="3" t="s">
        <v>2168</v>
      </c>
    </row>
    <row r="341" spans="2:7" ht="34.5">
      <c r="B341" s="3" t="s">
        <v>2169</v>
      </c>
      <c r="C341" s="3"/>
      <c r="D341" s="3" t="s">
        <v>1663</v>
      </c>
      <c r="E341" s="3" t="s">
        <v>2069</v>
      </c>
      <c r="F341" s="3" t="s">
        <v>2170</v>
      </c>
      <c r="G341" s="3" t="s">
        <v>2170</v>
      </c>
    </row>
    <row r="342" spans="2:7" ht="34.5">
      <c r="B342" s="3" t="s">
        <v>2171</v>
      </c>
      <c r="C342" s="3"/>
      <c r="D342" s="3" t="s">
        <v>1663</v>
      </c>
      <c r="E342" s="3" t="s">
        <v>2069</v>
      </c>
      <c r="F342" s="3" t="s">
        <v>2172</v>
      </c>
      <c r="G342" s="3"/>
    </row>
    <row r="343" spans="2:7" ht="34.5">
      <c r="B343" s="3" t="s">
        <v>2173</v>
      </c>
      <c r="C343" s="3"/>
      <c r="D343" s="3" t="s">
        <v>1663</v>
      </c>
      <c r="E343" s="3" t="s">
        <v>2069</v>
      </c>
      <c r="F343" s="3" t="s">
        <v>2174</v>
      </c>
      <c r="G343" s="3" t="s">
        <v>2174</v>
      </c>
    </row>
    <row r="344" spans="2:7" ht="34.5">
      <c r="B344" s="3" t="s">
        <v>2175</v>
      </c>
      <c r="C344" s="3"/>
      <c r="D344" s="3" t="s">
        <v>1663</v>
      </c>
      <c r="E344" s="3" t="s">
        <v>2069</v>
      </c>
      <c r="F344" s="3" t="s">
        <v>2176</v>
      </c>
      <c r="G344" s="3"/>
    </row>
    <row r="345" spans="2:7" ht="34.5">
      <c r="B345" s="3" t="s">
        <v>2177</v>
      </c>
      <c r="C345" s="3"/>
      <c r="D345" s="3" t="s">
        <v>1663</v>
      </c>
      <c r="E345" s="3" t="s">
        <v>2069</v>
      </c>
      <c r="F345" s="3" t="s">
        <v>2178</v>
      </c>
      <c r="G345" s="3" t="s">
        <v>2178</v>
      </c>
    </row>
    <row r="346" spans="2:7" ht="34.5">
      <c r="B346" s="3" t="s">
        <v>2179</v>
      </c>
      <c r="C346" s="3"/>
      <c r="D346" s="3" t="s">
        <v>1663</v>
      </c>
      <c r="E346" s="3" t="s">
        <v>2069</v>
      </c>
      <c r="F346" s="3" t="s">
        <v>2180</v>
      </c>
      <c r="G346" s="3" t="s">
        <v>2180</v>
      </c>
    </row>
    <row r="347" spans="2:7" ht="45.75">
      <c r="B347" s="3" t="s">
        <v>2181</v>
      </c>
      <c r="C347" s="3"/>
      <c r="D347" s="3" t="s">
        <v>1663</v>
      </c>
      <c r="E347" s="3" t="s">
        <v>2069</v>
      </c>
      <c r="F347" s="3" t="s">
        <v>2182</v>
      </c>
      <c r="G347" s="3" t="s">
        <v>2182</v>
      </c>
    </row>
    <row r="348" spans="2:7" ht="34.5">
      <c r="B348" s="3" t="s">
        <v>2183</v>
      </c>
      <c r="C348" s="3"/>
      <c r="D348" s="3" t="s">
        <v>1663</v>
      </c>
      <c r="E348" s="3" t="s">
        <v>2069</v>
      </c>
      <c r="F348" s="3" t="s">
        <v>2184</v>
      </c>
      <c r="G348" s="3" t="s">
        <v>2184</v>
      </c>
    </row>
    <row r="349" spans="2:7" ht="34.5">
      <c r="B349" s="3" t="s">
        <v>2185</v>
      </c>
      <c r="C349" s="3"/>
      <c r="D349" s="3" t="s">
        <v>1663</v>
      </c>
      <c r="E349" s="3" t="s">
        <v>2069</v>
      </c>
      <c r="F349" s="3" t="s">
        <v>2186</v>
      </c>
      <c r="G349" s="3" t="s">
        <v>2186</v>
      </c>
    </row>
    <row r="350" spans="2:7" ht="34.5">
      <c r="B350" s="3" t="s">
        <v>2187</v>
      </c>
      <c r="C350" s="3"/>
      <c r="D350" s="3" t="s">
        <v>1663</v>
      </c>
      <c r="E350" s="3" t="s">
        <v>2069</v>
      </c>
      <c r="F350" s="3" t="s">
        <v>2188</v>
      </c>
      <c r="G350" s="3" t="s">
        <v>2188</v>
      </c>
    </row>
    <row r="351" spans="2:7" ht="34.5">
      <c r="B351" s="3" t="s">
        <v>2189</v>
      </c>
      <c r="C351" s="3"/>
      <c r="D351" s="3" t="s">
        <v>1663</v>
      </c>
      <c r="E351" s="3" t="s">
        <v>2069</v>
      </c>
      <c r="F351" s="3" t="s">
        <v>2190</v>
      </c>
      <c r="G351" s="3" t="s">
        <v>2190</v>
      </c>
    </row>
    <row r="352" spans="2:7" ht="34.5">
      <c r="B352" s="3" t="s">
        <v>2191</v>
      </c>
      <c r="C352" s="3"/>
      <c r="D352" s="3" t="s">
        <v>1663</v>
      </c>
      <c r="E352" s="3" t="s">
        <v>2069</v>
      </c>
      <c r="F352" s="3" t="s">
        <v>2192</v>
      </c>
      <c r="G352" s="3" t="s">
        <v>2192</v>
      </c>
    </row>
    <row r="353" spans="2:7" ht="45.75">
      <c r="B353" s="3" t="s">
        <v>2195</v>
      </c>
      <c r="C353" s="3"/>
      <c r="D353" s="3" t="s">
        <v>1663</v>
      </c>
      <c r="E353" s="3" t="s">
        <v>2069</v>
      </c>
      <c r="F353" s="3" t="s">
        <v>2196</v>
      </c>
      <c r="G353" s="3" t="s">
        <v>2196</v>
      </c>
    </row>
    <row r="354" spans="2:7" ht="34.5">
      <c r="B354" s="3" t="s">
        <v>2199</v>
      </c>
      <c r="C354" s="3"/>
      <c r="D354" s="3" t="s">
        <v>1663</v>
      </c>
      <c r="E354" s="3" t="s">
        <v>2069</v>
      </c>
      <c r="F354" s="3" t="s">
        <v>2200</v>
      </c>
      <c r="G354" s="3" t="s">
        <v>2200</v>
      </c>
    </row>
    <row r="355" spans="2:7" ht="34.5">
      <c r="B355" s="3" t="s">
        <v>2201</v>
      </c>
      <c r="C355" s="3"/>
      <c r="D355" s="3" t="s">
        <v>1663</v>
      </c>
      <c r="E355" s="3" t="s">
        <v>2069</v>
      </c>
      <c r="F355" s="3" t="s">
        <v>2202</v>
      </c>
      <c r="G355" s="3" t="s">
        <v>2202</v>
      </c>
    </row>
    <row r="356" spans="2:7" ht="34.5">
      <c r="B356" s="3" t="s">
        <v>2203</v>
      </c>
      <c r="C356" s="3"/>
      <c r="D356" s="3" t="s">
        <v>1663</v>
      </c>
      <c r="E356" s="3" t="s">
        <v>2069</v>
      </c>
      <c r="F356" s="3" t="s">
        <v>2204</v>
      </c>
      <c r="G356" s="3" t="s">
        <v>2204</v>
      </c>
    </row>
    <row r="357" spans="2:7" ht="34.5">
      <c r="B357" s="3" t="s">
        <v>2205</v>
      </c>
      <c r="C357" s="3"/>
      <c r="D357" s="3" t="s">
        <v>1663</v>
      </c>
      <c r="E357" s="3" t="s">
        <v>2069</v>
      </c>
      <c r="F357" s="3" t="s">
        <v>2206</v>
      </c>
      <c r="G357" s="3" t="s">
        <v>2206</v>
      </c>
    </row>
    <row r="358" spans="2:7" ht="34.5">
      <c r="B358" s="3" t="s">
        <v>2207</v>
      </c>
      <c r="C358" s="3"/>
      <c r="D358" s="3" t="s">
        <v>1663</v>
      </c>
      <c r="E358" s="3" t="s">
        <v>2069</v>
      </c>
      <c r="F358" s="3" t="s">
        <v>2208</v>
      </c>
      <c r="G358" s="3" t="s">
        <v>2208</v>
      </c>
    </row>
    <row r="359" spans="2:7" ht="34.5">
      <c r="B359" s="3" t="s">
        <v>2210</v>
      </c>
      <c r="C359" s="3"/>
      <c r="D359" s="3" t="s">
        <v>1663</v>
      </c>
      <c r="E359" s="3" t="s">
        <v>2069</v>
      </c>
      <c r="F359" s="3" t="s">
        <v>2211</v>
      </c>
      <c r="G359" s="3" t="s">
        <v>2211</v>
      </c>
    </row>
    <row r="360" spans="2:7" ht="34.5">
      <c r="B360" s="3" t="s">
        <v>2212</v>
      </c>
      <c r="C360" s="3"/>
      <c r="D360" s="3" t="s">
        <v>1663</v>
      </c>
      <c r="E360" s="3" t="s">
        <v>2069</v>
      </c>
      <c r="F360" s="3" t="s">
        <v>2213</v>
      </c>
      <c r="G360" s="3" t="s">
        <v>2213</v>
      </c>
    </row>
    <row r="361" spans="2:7" ht="34.5">
      <c r="B361" s="3" t="s">
        <v>2214</v>
      </c>
      <c r="C361" s="3"/>
      <c r="D361" s="3" t="s">
        <v>1663</v>
      </c>
      <c r="E361" s="3" t="s">
        <v>2069</v>
      </c>
      <c r="F361" s="3" t="s">
        <v>2215</v>
      </c>
      <c r="G361" s="3" t="s">
        <v>2215</v>
      </c>
    </row>
    <row r="362" spans="2:7" ht="34.5">
      <c r="B362" s="3" t="s">
        <v>2216</v>
      </c>
      <c r="C362" s="3"/>
      <c r="D362" s="3" t="s">
        <v>1663</v>
      </c>
      <c r="E362" s="3" t="s">
        <v>2069</v>
      </c>
      <c r="F362" s="3" t="s">
        <v>2217</v>
      </c>
      <c r="G362" s="3" t="s">
        <v>2217</v>
      </c>
    </row>
    <row r="363" spans="2:7" ht="34.5">
      <c r="B363" s="3" t="s">
        <v>2218</v>
      </c>
      <c r="C363" s="3"/>
      <c r="D363" s="3" t="s">
        <v>1663</v>
      </c>
      <c r="E363" s="3" t="s">
        <v>2069</v>
      </c>
      <c r="F363" s="3" t="s">
        <v>2219</v>
      </c>
      <c r="G363" s="3" t="s">
        <v>2219</v>
      </c>
    </row>
    <row r="364" spans="2:7" ht="34.5">
      <c r="B364" s="3" t="s">
        <v>2220</v>
      </c>
      <c r="C364" s="3"/>
      <c r="D364" s="3" t="s">
        <v>1663</v>
      </c>
      <c r="E364" s="3" t="s">
        <v>2069</v>
      </c>
      <c r="F364" s="3" t="s">
        <v>2221</v>
      </c>
      <c r="G364" s="3" t="s">
        <v>2221</v>
      </c>
    </row>
    <row r="365" spans="2:7" ht="34.5">
      <c r="B365" s="3" t="s">
        <v>2222</v>
      </c>
      <c r="C365" s="3"/>
      <c r="D365" s="3" t="s">
        <v>1663</v>
      </c>
      <c r="E365" s="3" t="s">
        <v>2069</v>
      </c>
      <c r="F365" s="3" t="s">
        <v>2223</v>
      </c>
      <c r="G365" s="3" t="s">
        <v>2223</v>
      </c>
    </row>
    <row r="366" spans="2:7" ht="34.5">
      <c r="B366" s="3" t="s">
        <v>2224</v>
      </c>
      <c r="C366" s="3"/>
      <c r="D366" s="3" t="s">
        <v>1663</v>
      </c>
      <c r="E366" s="3" t="s">
        <v>2069</v>
      </c>
      <c r="F366" s="3" t="s">
        <v>2225</v>
      </c>
      <c r="G366" s="3" t="s">
        <v>2225</v>
      </c>
    </row>
    <row r="367" spans="2:7" ht="34.5">
      <c r="B367" s="3" t="s">
        <v>2226</v>
      </c>
      <c r="C367" s="3"/>
      <c r="D367" s="3" t="s">
        <v>1663</v>
      </c>
      <c r="E367" s="3" t="s">
        <v>2069</v>
      </c>
      <c r="F367" s="3" t="s">
        <v>2227</v>
      </c>
      <c r="G367" s="3" t="s">
        <v>2227</v>
      </c>
    </row>
    <row r="368" spans="2:7" ht="34.5">
      <c r="B368" s="3" t="s">
        <v>2229</v>
      </c>
      <c r="C368" s="3"/>
      <c r="D368" s="3" t="s">
        <v>1663</v>
      </c>
      <c r="E368" s="3" t="s">
        <v>2069</v>
      </c>
      <c r="F368" s="3" t="s">
        <v>2230</v>
      </c>
      <c r="G368" s="3" t="s">
        <v>2230</v>
      </c>
    </row>
    <row r="369" spans="2:7" ht="45.75">
      <c r="B369" s="3" t="s">
        <v>2231</v>
      </c>
      <c r="C369" s="3"/>
      <c r="D369" s="3" t="s">
        <v>1663</v>
      </c>
      <c r="E369" s="3" t="s">
        <v>2069</v>
      </c>
      <c r="F369" s="3" t="s">
        <v>2232</v>
      </c>
      <c r="G369" s="3" t="s">
        <v>2232</v>
      </c>
    </row>
    <row r="370" spans="2:7" ht="45.75">
      <c r="B370" s="3" t="s">
        <v>2233</v>
      </c>
      <c r="C370" s="3"/>
      <c r="D370" s="3" t="s">
        <v>1663</v>
      </c>
      <c r="E370" s="3" t="s">
        <v>2069</v>
      </c>
      <c r="F370" s="3" t="s">
        <v>2234</v>
      </c>
      <c r="G370" s="3" t="s">
        <v>2234</v>
      </c>
    </row>
    <row r="371" spans="2:7" ht="45.75">
      <c r="B371" s="3" t="s">
        <v>2235</v>
      </c>
      <c r="C371" s="3"/>
      <c r="D371" s="3" t="s">
        <v>1663</v>
      </c>
      <c r="E371" s="3" t="s">
        <v>2069</v>
      </c>
      <c r="F371" s="3" t="s">
        <v>2236</v>
      </c>
      <c r="G371" s="3" t="s">
        <v>2236</v>
      </c>
    </row>
    <row r="372" spans="2:7" ht="45.75">
      <c r="B372" s="3" t="s">
        <v>2237</v>
      </c>
      <c r="C372" s="3"/>
      <c r="D372" s="3" t="s">
        <v>1663</v>
      </c>
      <c r="E372" s="3" t="s">
        <v>2069</v>
      </c>
      <c r="F372" s="3" t="s">
        <v>2238</v>
      </c>
      <c r="G372" s="3" t="s">
        <v>2238</v>
      </c>
    </row>
    <row r="373" spans="2:7" ht="45.75">
      <c r="B373" s="3" t="s">
        <v>2239</v>
      </c>
      <c r="C373" s="3"/>
      <c r="D373" s="3" t="s">
        <v>1663</v>
      </c>
      <c r="E373" s="3" t="s">
        <v>2069</v>
      </c>
      <c r="F373" s="3" t="s">
        <v>2240</v>
      </c>
      <c r="G373" s="3" t="s">
        <v>2240</v>
      </c>
    </row>
    <row r="374" spans="2:7" ht="45.75">
      <c r="B374" s="3" t="s">
        <v>2243</v>
      </c>
      <c r="C374" s="3"/>
      <c r="D374" s="3" t="s">
        <v>1663</v>
      </c>
      <c r="E374" s="3" t="s">
        <v>2069</v>
      </c>
      <c r="F374" s="3" t="s">
        <v>2244</v>
      </c>
      <c r="G374" s="3" t="s">
        <v>2244</v>
      </c>
    </row>
    <row r="375" spans="2:7" ht="57">
      <c r="B375" s="3" t="s">
        <v>2245</v>
      </c>
      <c r="C375" s="3"/>
      <c r="D375" s="3" t="s">
        <v>1663</v>
      </c>
      <c r="E375" s="3">
        <v>18539</v>
      </c>
      <c r="F375" s="3" t="s">
        <v>2246</v>
      </c>
      <c r="G375" s="3"/>
    </row>
    <row r="376" spans="2:7" ht="79.5">
      <c r="B376" s="3" t="s">
        <v>2247</v>
      </c>
      <c r="C376" s="3"/>
      <c r="D376" s="3" t="s">
        <v>1663</v>
      </c>
      <c r="E376" s="3" t="s">
        <v>2069</v>
      </c>
      <c r="F376" s="3" t="s">
        <v>2248</v>
      </c>
      <c r="G376" s="3" t="s">
        <v>2248</v>
      </c>
    </row>
    <row r="377" spans="2:7" ht="45.75">
      <c r="B377" s="3" t="s">
        <v>2249</v>
      </c>
      <c r="C377" s="3"/>
      <c r="D377" s="3" t="s">
        <v>1663</v>
      </c>
      <c r="E377" s="3" t="s">
        <v>2069</v>
      </c>
      <c r="F377" s="3" t="s">
        <v>2250</v>
      </c>
      <c r="G377" s="3" t="s">
        <v>2250</v>
      </c>
    </row>
    <row r="378" spans="2:7" ht="45.75">
      <c r="B378" s="3" t="s">
        <v>2251</v>
      </c>
      <c r="C378" s="3"/>
      <c r="D378" s="3" t="s">
        <v>1663</v>
      </c>
      <c r="E378" s="3" t="s">
        <v>2069</v>
      </c>
      <c r="F378" s="3" t="s">
        <v>2252</v>
      </c>
      <c r="G378" s="3" t="s">
        <v>2252</v>
      </c>
    </row>
    <row r="379" spans="2:7" ht="79.5">
      <c r="B379" s="3" t="s">
        <v>2253</v>
      </c>
      <c r="C379" s="3"/>
      <c r="D379" s="3" t="s">
        <v>1663</v>
      </c>
      <c r="E379" s="3" t="s">
        <v>2069</v>
      </c>
      <c r="F379" s="3" t="s">
        <v>2254</v>
      </c>
      <c r="G379" s="3" t="s">
        <v>2254</v>
      </c>
    </row>
    <row r="380" spans="2:7" ht="79.5">
      <c r="B380" s="3" t="s">
        <v>2255</v>
      </c>
      <c r="C380" s="3"/>
      <c r="D380" s="3" t="s">
        <v>1663</v>
      </c>
      <c r="E380" s="3" t="s">
        <v>2069</v>
      </c>
      <c r="F380" s="3" t="s">
        <v>2256</v>
      </c>
      <c r="G380" s="3" t="s">
        <v>2256</v>
      </c>
    </row>
    <row r="381" spans="2:7" ht="45.75">
      <c r="B381" s="3" t="s">
        <v>2257</v>
      </c>
      <c r="C381" s="3"/>
      <c r="D381" s="3" t="s">
        <v>1663</v>
      </c>
      <c r="E381" s="3" t="s">
        <v>2069</v>
      </c>
      <c r="F381" s="3" t="s">
        <v>2258</v>
      </c>
      <c r="G381" s="3" t="s">
        <v>2258</v>
      </c>
    </row>
    <row r="382" spans="2:7" ht="79.5">
      <c r="B382" s="3" t="s">
        <v>2259</v>
      </c>
      <c r="C382" s="3"/>
      <c r="D382" s="3" t="s">
        <v>1663</v>
      </c>
      <c r="E382" s="3" t="s">
        <v>2069</v>
      </c>
      <c r="F382" s="3" t="s">
        <v>2260</v>
      </c>
      <c r="G382" s="3" t="s">
        <v>2260</v>
      </c>
    </row>
    <row r="383" spans="2:7" ht="34.5">
      <c r="B383" s="3" t="s">
        <v>2263</v>
      </c>
      <c r="C383" s="3"/>
      <c r="D383" s="3" t="s">
        <v>1663</v>
      </c>
      <c r="E383" s="3" t="s">
        <v>2264</v>
      </c>
      <c r="F383" s="3" t="s">
        <v>2265</v>
      </c>
      <c r="G383" s="3" t="s">
        <v>2265</v>
      </c>
    </row>
    <row r="384" spans="2:7" ht="45.75">
      <c r="B384" s="3" t="s">
        <v>2268</v>
      </c>
      <c r="C384" s="3"/>
      <c r="D384" s="3"/>
      <c r="E384" s="3" t="s">
        <v>2069</v>
      </c>
      <c r="F384" s="3" t="s">
        <v>2269</v>
      </c>
      <c r="G384" s="3"/>
    </row>
    <row r="385" spans="1:7" ht="57">
      <c r="B385" s="3" t="s">
        <v>2270</v>
      </c>
      <c r="C385" s="3"/>
      <c r="D385" s="3" t="s">
        <v>1663</v>
      </c>
      <c r="E385" s="3"/>
      <c r="F385" s="3" t="s">
        <v>2271</v>
      </c>
      <c r="G385" s="3" t="s">
        <v>2271</v>
      </c>
    </row>
    <row r="386" spans="1:7" ht="57">
      <c r="B386" s="3" t="s">
        <v>2272</v>
      </c>
      <c r="C386" s="3"/>
      <c r="D386" s="3" t="s">
        <v>1663</v>
      </c>
      <c r="E386" s="3">
        <v>18521</v>
      </c>
      <c r="F386" s="3" t="s">
        <v>2273</v>
      </c>
      <c r="G386" s="3" t="s">
        <v>2273</v>
      </c>
    </row>
    <row r="387" spans="1:7" ht="45.75">
      <c r="B387" s="3" t="s">
        <v>2283</v>
      </c>
      <c r="C387" s="3"/>
      <c r="D387" s="3" t="s">
        <v>1656</v>
      </c>
      <c r="E387" s="3"/>
      <c r="F387" s="3" t="s">
        <v>2284</v>
      </c>
      <c r="G387" s="3"/>
    </row>
    <row r="388" spans="1:7" ht="45.75">
      <c r="B388" s="3" t="s">
        <v>2288</v>
      </c>
      <c r="C388" s="3"/>
      <c r="D388" s="3" t="s">
        <v>1656</v>
      </c>
      <c r="E388" s="3"/>
      <c r="F388" s="3" t="s">
        <v>2284</v>
      </c>
      <c r="G388" s="3" t="s">
        <v>2284</v>
      </c>
    </row>
    <row r="389" spans="1:7" ht="45.75">
      <c r="B389" s="3" t="s">
        <v>2287</v>
      </c>
      <c r="C389" s="3"/>
      <c r="D389" s="3" t="s">
        <v>1656</v>
      </c>
      <c r="E389" s="3"/>
      <c r="F389" s="3" t="s">
        <v>2284</v>
      </c>
      <c r="G389" s="3" t="s">
        <v>2284</v>
      </c>
    </row>
    <row r="390" spans="1:7" ht="57">
      <c r="B390" s="3" t="s">
        <v>2285</v>
      </c>
      <c r="C390" s="3"/>
      <c r="D390" s="3" t="s">
        <v>1656</v>
      </c>
      <c r="E390" s="3"/>
      <c r="F390" s="3" t="s">
        <v>2286</v>
      </c>
      <c r="G390" s="3"/>
    </row>
    <row r="391" spans="1:7" ht="34.5">
      <c r="B391" s="3" t="s">
        <v>2289</v>
      </c>
      <c r="C391" s="3"/>
      <c r="D391" s="3" t="s">
        <v>1589</v>
      </c>
      <c r="E391" s="3"/>
      <c r="F391" s="3" t="s">
        <v>2290</v>
      </c>
      <c r="G391" s="3"/>
    </row>
    <row r="392" spans="1:7">
      <c r="B392">
        <f>COUNTA(B7:B391)</f>
        <v>297</v>
      </c>
    </row>
    <row r="395" spans="1:7">
      <c r="A395" s="335" t="s">
        <v>2368</v>
      </c>
      <c r="B395" s="336"/>
      <c r="C395" s="336"/>
      <c r="D395" s="336"/>
      <c r="E395" s="336"/>
      <c r="F395" s="336"/>
      <c r="G395" s="336"/>
    </row>
  </sheetData>
  <mergeCells count="4">
    <mergeCell ref="A395:G395"/>
    <mergeCell ref="A1:G1"/>
    <mergeCell ref="A2:G2"/>
    <mergeCell ref="A3:G3"/>
  </mergeCells>
  <pageMargins left="0.7" right="0.7" top="0.75" bottom="0.75" header="0.3" footer="0.3"/>
  <pageSetup scale="27" fitToHeight="0"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cument" ma:contentTypeID="0x010100EADF588C692549478A13C2BE0B295C36" ma:contentTypeVersion="7" ma:contentTypeDescription="Create a new document." ma:contentTypeScope="" ma:versionID="a33b45d41b4cd915f9971148b2004b4a">
  <xsd:schema xmlns:xsd="http://www.w3.org/2001/XMLSchema" xmlns:xs="http://www.w3.org/2001/XMLSchema" xmlns:p="http://schemas.microsoft.com/office/2006/metadata/properties" xmlns:ns2="3bf65850-52ae-42a5-a969-b04f809f6a74" targetNamespace="http://schemas.microsoft.com/office/2006/metadata/properties" ma:root="true" ma:fieldsID="6fa052e0ab7333f084c6970be142a692" ns2:_="">
    <xsd:import namespace="3bf65850-52ae-42a5-a969-b04f809f6a7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bf65850-52ae-42a5-a969-b04f809f6a7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9EE29D2-4982-45D8-9BA9-E8521E1A80C4}">
  <ds:schemaRefs>
    <ds:schemaRef ds:uri="http://schemas.microsoft.com/DataMashup"/>
  </ds:schemaRefs>
</ds:datastoreItem>
</file>

<file path=customXml/itemProps2.xml><?xml version="1.0" encoding="utf-8"?>
<ds:datastoreItem xmlns:ds="http://schemas.openxmlformats.org/officeDocument/2006/customXml" ds:itemID="{D426E404-9EA3-42A2-AFE1-B9C7121A9F18}">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5F593259-A898-41C2-9485-425685C167A0}">
  <ds:schemaRefs>
    <ds:schemaRef ds:uri="http://schemas.microsoft.com/sharepoint/v3/contenttype/forms"/>
  </ds:schemaRefs>
</ds:datastoreItem>
</file>

<file path=customXml/itemProps4.xml><?xml version="1.0" encoding="utf-8"?>
<ds:datastoreItem xmlns:ds="http://schemas.openxmlformats.org/officeDocument/2006/customXml" ds:itemID="{4E9996E6-B737-43B3-864A-8FD2CF92B07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bf65850-52ae-42a5-a969-b04f809f6a7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Agreements</vt:lpstr>
      <vt:lpstr>Partnerships - Referrals and Re</vt:lpstr>
      <vt:lpstr>Statements of Work</vt:lpstr>
      <vt:lpstr>MS Dev Renewals</vt:lpstr>
      <vt:lpstr>Settings &amp; Instructions</vt:lpstr>
      <vt:lpstr>Software | Licensing Agreements</vt:lpstr>
      <vt:lpstr>Contracts</vt:lpstr>
      <vt:lpstr>Audit 11.09</vt:lpstr>
      <vt:lpstr>SOWs</vt:lpstr>
      <vt:lpstr>Budgets</vt:lpstr>
      <vt:lpstr>Renewals</vt:lpstr>
      <vt:lpstr>Audit</vt:lpstr>
      <vt:lpstr>Contracts Insurance</vt:lpstr>
      <vt:lpstr>Insurance</vt:lpstr>
      <vt:lpstr>SOW Insurance Info</vt:lpstr>
      <vt:lpstr>Scrum Open Contracts</vt:lpstr>
      <vt:lpstr>Scrum Client List</vt:lpstr>
      <vt:lpstr>QB Consolidated Contacts</vt:lpstr>
      <vt:lpstr>VT Contracts</vt:lpstr>
      <vt:lpstr>VNA Contracts</vt:lpstr>
      <vt:lpstr>VT Contacts QB</vt:lpstr>
      <vt:lpstr>VNA Contacts QB</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Admin</cp:lastModifiedBy>
  <cp:revision/>
  <dcterms:created xsi:type="dcterms:W3CDTF">2026-02-23T21:15:40Z</dcterms:created>
  <dcterms:modified xsi:type="dcterms:W3CDTF">2026-03-12T11:55:45Z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0x010100EADF588C692549478A13C2BE0B295C36</vt:lpwstr>
  </property>
  <property fmtid="{D5CDD505-2E9C-101B-9397-08002B2CF9AE}" pid="3" name="MediaServiceImageTags">
    <vt:lpwstr/>
  </property>
</Properties>
</file>