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hite\DoE\Proposal_2017_19\Budget sheets\"/>
    </mc:Choice>
  </mc:AlternateContent>
  <bookViews>
    <workbookView xWindow="0" yWindow="0" windowWidth="2043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Sheet1!$A$14:$C$35</definedName>
  </definedNames>
  <calcPr calcId="152511" concurrentCalc="0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15" i="1"/>
  <c r="F167" i="1"/>
  <c r="H167" i="1"/>
  <c r="J167" i="1"/>
  <c r="F640" i="1"/>
  <c r="F69" i="1"/>
  <c r="H69" i="1"/>
  <c r="J69" i="1"/>
  <c r="F146" i="1"/>
  <c r="H146" i="1"/>
  <c r="J146" i="1"/>
  <c r="F637" i="1"/>
  <c r="F189" i="1"/>
  <c r="H189" i="1"/>
  <c r="J189" i="1"/>
  <c r="F190" i="1"/>
  <c r="H190" i="1"/>
  <c r="J190" i="1"/>
  <c r="F660" i="1"/>
  <c r="F247" i="1"/>
  <c r="H247" i="1"/>
  <c r="J247" i="1"/>
  <c r="F661" i="1"/>
  <c r="G661" i="1"/>
  <c r="H661" i="1"/>
  <c r="F73" i="1"/>
  <c r="H73" i="1"/>
  <c r="J73" i="1"/>
  <c r="F658" i="1"/>
  <c r="G658" i="1"/>
  <c r="H658" i="1"/>
  <c r="F131" i="1"/>
  <c r="H131" i="1"/>
  <c r="J131" i="1"/>
  <c r="F132" i="1"/>
  <c r="H132" i="1"/>
  <c r="J132" i="1"/>
  <c r="F659" i="1"/>
  <c r="G659" i="1"/>
  <c r="H659" i="1"/>
  <c r="G660" i="1"/>
  <c r="H660" i="1"/>
  <c r="F43" i="1"/>
  <c r="H43" i="1"/>
  <c r="J43" i="1"/>
  <c r="F657" i="1"/>
  <c r="G657" i="1"/>
  <c r="H657" i="1"/>
  <c r="F225" i="1"/>
  <c r="H225" i="1"/>
  <c r="J225" i="1"/>
  <c r="F654" i="1"/>
  <c r="G654" i="1"/>
  <c r="H654" i="1"/>
  <c r="F206" i="1"/>
  <c r="H206" i="1"/>
  <c r="J206" i="1"/>
  <c r="F653" i="1"/>
  <c r="G653" i="1"/>
  <c r="H653" i="1"/>
  <c r="F187" i="1"/>
  <c r="H187" i="1"/>
  <c r="J187" i="1"/>
  <c r="F188" i="1"/>
  <c r="H188" i="1"/>
  <c r="J188" i="1"/>
  <c r="F652" i="1"/>
  <c r="G652" i="1"/>
  <c r="H652" i="1"/>
  <c r="F129" i="1"/>
  <c r="H129" i="1"/>
  <c r="J129" i="1"/>
  <c r="F130" i="1"/>
  <c r="H130" i="1"/>
  <c r="J130" i="1"/>
  <c r="F651" i="1"/>
  <c r="G651" i="1"/>
  <c r="H651" i="1"/>
  <c r="F107" i="1"/>
  <c r="H107" i="1"/>
  <c r="J107" i="1"/>
  <c r="F643" i="1"/>
  <c r="G643" i="1"/>
  <c r="H643" i="1"/>
  <c r="F90" i="1"/>
  <c r="H90" i="1"/>
  <c r="J90" i="1"/>
  <c r="F648" i="1"/>
  <c r="G648" i="1"/>
  <c r="H648" i="1"/>
  <c r="F148" i="1"/>
  <c r="H148" i="1"/>
  <c r="J148" i="1"/>
  <c r="F649" i="1"/>
  <c r="G649" i="1"/>
  <c r="H649" i="1"/>
  <c r="F169" i="1"/>
  <c r="H169" i="1"/>
  <c r="J169" i="1"/>
  <c r="F650" i="1"/>
  <c r="G650" i="1"/>
  <c r="H650" i="1"/>
  <c r="F72" i="1"/>
  <c r="H72" i="1"/>
  <c r="J72" i="1"/>
  <c r="F647" i="1"/>
  <c r="G647" i="1"/>
  <c r="H647" i="1"/>
  <c r="F41" i="1"/>
  <c r="H41" i="1"/>
  <c r="J41" i="1"/>
  <c r="F646" i="1"/>
  <c r="G646" i="1"/>
  <c r="H646" i="1"/>
  <c r="F127" i="1"/>
  <c r="H127" i="1"/>
  <c r="J127" i="1"/>
  <c r="F128" i="1"/>
  <c r="H128" i="1"/>
  <c r="J128" i="1"/>
  <c r="F641" i="1"/>
  <c r="G641" i="1"/>
  <c r="H641" i="1"/>
  <c r="F186" i="1"/>
  <c r="H186" i="1"/>
  <c r="J186" i="1"/>
  <c r="F642" i="1"/>
  <c r="G642" i="1"/>
  <c r="H642" i="1"/>
  <c r="F147" i="1"/>
  <c r="H147" i="1"/>
  <c r="J147" i="1"/>
  <c r="F639" i="1"/>
  <c r="G639" i="1"/>
  <c r="H639" i="1"/>
  <c r="G640" i="1"/>
  <c r="H640" i="1"/>
  <c r="F70" i="1"/>
  <c r="H70" i="1"/>
  <c r="J70" i="1"/>
  <c r="F638" i="1"/>
  <c r="G638" i="1"/>
  <c r="H638" i="1"/>
  <c r="F89" i="1"/>
  <c r="H89" i="1"/>
  <c r="J89" i="1"/>
  <c r="G637" i="1"/>
  <c r="H637" i="1"/>
  <c r="F38" i="1"/>
  <c r="H38" i="1"/>
  <c r="J38" i="1"/>
  <c r="L38" i="1"/>
  <c r="F39" i="1"/>
  <c r="F53" i="1"/>
  <c r="F57" i="1"/>
  <c r="F40" i="1"/>
  <c r="F42" i="1"/>
  <c r="F44" i="1"/>
  <c r="F50" i="1"/>
  <c r="F51" i="1"/>
  <c r="F58" i="1"/>
  <c r="F61" i="1"/>
  <c r="H39" i="1"/>
  <c r="H53" i="1"/>
  <c r="H57" i="1"/>
  <c r="H40" i="1"/>
  <c r="H42" i="1"/>
  <c r="H44" i="1"/>
  <c r="H50" i="1"/>
  <c r="H51" i="1"/>
  <c r="H58" i="1"/>
  <c r="H61" i="1"/>
  <c r="J39" i="1"/>
  <c r="J53" i="1"/>
  <c r="J57" i="1"/>
  <c r="J40" i="1"/>
  <c r="J42" i="1"/>
  <c r="J44" i="1"/>
  <c r="J50" i="1"/>
  <c r="J51" i="1"/>
  <c r="J58" i="1"/>
  <c r="J61" i="1"/>
  <c r="L61" i="1"/>
  <c r="F45" i="1"/>
  <c r="F52" i="1"/>
  <c r="F54" i="1"/>
  <c r="F59" i="1"/>
  <c r="F62" i="1"/>
  <c r="H45" i="1"/>
  <c r="H52" i="1"/>
  <c r="H54" i="1"/>
  <c r="H59" i="1"/>
  <c r="H62" i="1"/>
  <c r="J45" i="1"/>
  <c r="J52" i="1"/>
  <c r="J54" i="1"/>
  <c r="J59" i="1"/>
  <c r="J62" i="1"/>
  <c r="L62" i="1"/>
  <c r="F46" i="1"/>
  <c r="F55" i="1"/>
  <c r="F60" i="1"/>
  <c r="F63" i="1"/>
  <c r="H46" i="1"/>
  <c r="H55" i="1"/>
  <c r="H60" i="1"/>
  <c r="H63" i="1"/>
  <c r="J46" i="1"/>
  <c r="J55" i="1"/>
  <c r="J60" i="1"/>
  <c r="J63" i="1"/>
  <c r="L63" i="1"/>
  <c r="F56" i="1"/>
  <c r="F64" i="1"/>
  <c r="H56" i="1"/>
  <c r="H64" i="1"/>
  <c r="J56" i="1"/>
  <c r="J64" i="1"/>
  <c r="L64" i="1"/>
  <c r="L60" i="1"/>
  <c r="L46" i="1"/>
  <c r="C336" i="1"/>
  <c r="C337" i="1"/>
  <c r="C338" i="1"/>
  <c r="C339" i="1"/>
  <c r="C306" i="1"/>
  <c r="C307" i="1"/>
  <c r="C308" i="1"/>
  <c r="C309" i="1"/>
  <c r="C276" i="1"/>
  <c r="C277" i="1"/>
  <c r="C278" i="1"/>
  <c r="C279" i="1"/>
  <c r="J193" i="1"/>
  <c r="J198" i="1"/>
  <c r="H193" i="1"/>
  <c r="H198" i="1"/>
  <c r="F193" i="1"/>
  <c r="F198" i="1"/>
  <c r="J192" i="1"/>
  <c r="H192" i="1"/>
  <c r="F192" i="1"/>
  <c r="J135" i="1"/>
  <c r="J140" i="1"/>
  <c r="H135" i="1"/>
  <c r="H140" i="1"/>
  <c r="F135" i="1"/>
  <c r="F140" i="1"/>
  <c r="J134" i="1"/>
  <c r="H134" i="1"/>
  <c r="F134" i="1"/>
  <c r="J171" i="1"/>
  <c r="J173" i="1"/>
  <c r="J174" i="1"/>
  <c r="J179" i="1"/>
  <c r="H171" i="1"/>
  <c r="H173" i="1"/>
  <c r="H174" i="1"/>
  <c r="H179" i="1"/>
  <c r="F171" i="1"/>
  <c r="F173" i="1"/>
  <c r="F174" i="1"/>
  <c r="F179" i="1"/>
  <c r="J165" i="1"/>
  <c r="J166" i="1"/>
  <c r="J168" i="1"/>
  <c r="J170" i="1"/>
  <c r="J176" i="1"/>
  <c r="J178" i="1"/>
  <c r="H165" i="1"/>
  <c r="H166" i="1"/>
  <c r="H168" i="1"/>
  <c r="H170" i="1"/>
  <c r="H176" i="1"/>
  <c r="H178" i="1"/>
  <c r="F165" i="1"/>
  <c r="F166" i="1"/>
  <c r="F168" i="1"/>
  <c r="F170" i="1"/>
  <c r="F176" i="1"/>
  <c r="F178" i="1"/>
  <c r="J149" i="1"/>
  <c r="J151" i="1"/>
  <c r="J153" i="1"/>
  <c r="J154" i="1"/>
  <c r="J159" i="1"/>
  <c r="H149" i="1"/>
  <c r="H151" i="1"/>
  <c r="H153" i="1"/>
  <c r="H154" i="1"/>
  <c r="H159" i="1"/>
  <c r="F149" i="1"/>
  <c r="F151" i="1"/>
  <c r="F153" i="1"/>
  <c r="F154" i="1"/>
  <c r="F159" i="1"/>
  <c r="J145" i="1"/>
  <c r="J150" i="1"/>
  <c r="J156" i="1"/>
  <c r="J158" i="1"/>
  <c r="H145" i="1"/>
  <c r="H150" i="1"/>
  <c r="H156" i="1"/>
  <c r="H158" i="1"/>
  <c r="F145" i="1"/>
  <c r="F150" i="1"/>
  <c r="F156" i="1"/>
  <c r="F158" i="1"/>
  <c r="J91" i="1"/>
  <c r="J93" i="1"/>
  <c r="J95" i="1"/>
  <c r="J96" i="1"/>
  <c r="J101" i="1"/>
  <c r="H91" i="1"/>
  <c r="H93" i="1"/>
  <c r="H95" i="1"/>
  <c r="H96" i="1"/>
  <c r="H101" i="1"/>
  <c r="F91" i="1"/>
  <c r="F93" i="1"/>
  <c r="F95" i="1"/>
  <c r="F96" i="1"/>
  <c r="F101" i="1"/>
  <c r="J87" i="1"/>
  <c r="J88" i="1"/>
  <c r="J92" i="1"/>
  <c r="J98" i="1"/>
  <c r="J100" i="1"/>
  <c r="H87" i="1"/>
  <c r="H88" i="1"/>
  <c r="H92" i="1"/>
  <c r="H98" i="1"/>
  <c r="H100" i="1"/>
  <c r="F87" i="1"/>
  <c r="F88" i="1"/>
  <c r="F92" i="1"/>
  <c r="F98" i="1"/>
  <c r="F100" i="1"/>
  <c r="J74" i="1"/>
  <c r="J76" i="1"/>
  <c r="J77" i="1"/>
  <c r="J82" i="1"/>
  <c r="H74" i="1"/>
  <c r="H76" i="1"/>
  <c r="H77" i="1"/>
  <c r="H82" i="1"/>
  <c r="F74" i="1"/>
  <c r="F76" i="1"/>
  <c r="F77" i="1"/>
  <c r="F82" i="1"/>
  <c r="J68" i="1"/>
  <c r="J71" i="1"/>
  <c r="J79" i="1"/>
  <c r="J81" i="1"/>
  <c r="H68" i="1"/>
  <c r="H71" i="1"/>
  <c r="H79" i="1"/>
  <c r="H81" i="1"/>
  <c r="F68" i="1"/>
  <c r="F71" i="1"/>
  <c r="F79" i="1"/>
  <c r="F81" i="1"/>
  <c r="E376" i="1"/>
  <c r="H376" i="1"/>
  <c r="E402" i="1"/>
  <c r="H402" i="1"/>
  <c r="E428" i="1"/>
  <c r="H428" i="1"/>
  <c r="E377" i="1"/>
  <c r="H377" i="1"/>
  <c r="E403" i="1"/>
  <c r="H403" i="1"/>
  <c r="E429" i="1"/>
  <c r="H429" i="1"/>
  <c r="H44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H363" i="1"/>
  <c r="C365" i="1"/>
  <c r="E365" i="1"/>
  <c r="F365" i="1"/>
  <c r="G365" i="1"/>
  <c r="H365" i="1"/>
  <c r="C366" i="1"/>
  <c r="E366" i="1"/>
  <c r="F366" i="1"/>
  <c r="G366" i="1"/>
  <c r="H366" i="1"/>
  <c r="C367" i="1"/>
  <c r="E367" i="1"/>
  <c r="F367" i="1"/>
  <c r="G367" i="1"/>
  <c r="H367" i="1"/>
  <c r="H368" i="1"/>
  <c r="E370" i="1"/>
  <c r="E371" i="1"/>
  <c r="H371" i="1"/>
  <c r="F78" i="1"/>
  <c r="F97" i="1"/>
  <c r="F155" i="1"/>
  <c r="F175" i="1"/>
  <c r="E372" i="1"/>
  <c r="H372" i="1"/>
  <c r="E373" i="1"/>
  <c r="H373" i="1"/>
  <c r="H374" i="1"/>
  <c r="H375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H389" i="1"/>
  <c r="C391" i="1"/>
  <c r="E391" i="1"/>
  <c r="F391" i="1"/>
  <c r="G391" i="1"/>
  <c r="H391" i="1"/>
  <c r="C392" i="1"/>
  <c r="E392" i="1"/>
  <c r="F392" i="1"/>
  <c r="G392" i="1"/>
  <c r="H392" i="1"/>
  <c r="C393" i="1"/>
  <c r="E393" i="1"/>
  <c r="F393" i="1"/>
  <c r="G393" i="1"/>
  <c r="H393" i="1"/>
  <c r="H394" i="1"/>
  <c r="E396" i="1"/>
  <c r="E397" i="1"/>
  <c r="H397" i="1"/>
  <c r="H78" i="1"/>
  <c r="H97" i="1"/>
  <c r="H155" i="1"/>
  <c r="H175" i="1"/>
  <c r="E398" i="1"/>
  <c r="H398" i="1"/>
  <c r="E399" i="1"/>
  <c r="H399" i="1"/>
  <c r="H400" i="1"/>
  <c r="H401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H415" i="1"/>
  <c r="C417" i="1"/>
  <c r="E417" i="1"/>
  <c r="F417" i="1"/>
  <c r="G417" i="1"/>
  <c r="H417" i="1"/>
  <c r="C418" i="1"/>
  <c r="E418" i="1"/>
  <c r="F418" i="1"/>
  <c r="G418" i="1"/>
  <c r="H418" i="1"/>
  <c r="C419" i="1"/>
  <c r="E419" i="1"/>
  <c r="F419" i="1"/>
  <c r="G419" i="1"/>
  <c r="H419" i="1"/>
  <c r="H420" i="1"/>
  <c r="E422" i="1"/>
  <c r="E423" i="1"/>
  <c r="H423" i="1"/>
  <c r="J78" i="1"/>
  <c r="J97" i="1"/>
  <c r="J155" i="1"/>
  <c r="J175" i="1"/>
  <c r="E424" i="1"/>
  <c r="H424" i="1"/>
  <c r="E425" i="1"/>
  <c r="H425" i="1"/>
  <c r="H426" i="1"/>
  <c r="H427" i="1"/>
  <c r="H446" i="1"/>
  <c r="H448" i="1"/>
  <c r="H444" i="1"/>
  <c r="H442" i="1"/>
  <c r="H440" i="1"/>
  <c r="H439" i="1"/>
  <c r="H434" i="1"/>
  <c r="H435" i="1"/>
  <c r="H437" i="1"/>
  <c r="H436" i="1"/>
  <c r="E465" i="1"/>
  <c r="E464" i="1"/>
  <c r="H465" i="1"/>
  <c r="F126" i="1"/>
  <c r="F455" i="1"/>
  <c r="G455" i="1"/>
  <c r="H455" i="1"/>
  <c r="F184" i="1"/>
  <c r="F456" i="1"/>
  <c r="G456" i="1"/>
  <c r="H456" i="1"/>
  <c r="H457" i="1"/>
  <c r="C459" i="1"/>
  <c r="E459" i="1"/>
  <c r="F459" i="1"/>
  <c r="G459" i="1"/>
  <c r="H459" i="1"/>
  <c r="C460" i="1"/>
  <c r="E460" i="1"/>
  <c r="F460" i="1"/>
  <c r="G460" i="1"/>
  <c r="H460" i="1"/>
  <c r="C461" i="1"/>
  <c r="E461" i="1"/>
  <c r="F461" i="1"/>
  <c r="G461" i="1"/>
  <c r="H461" i="1"/>
  <c r="H462" i="1"/>
  <c r="F136" i="1"/>
  <c r="F194" i="1"/>
  <c r="E466" i="1"/>
  <c r="H466" i="1"/>
  <c r="F137" i="1"/>
  <c r="F195" i="1"/>
  <c r="E467" i="1"/>
  <c r="H467" i="1"/>
  <c r="H468" i="1"/>
  <c r="H469" i="1"/>
  <c r="E488" i="1"/>
  <c r="E487" i="1"/>
  <c r="H488" i="1"/>
  <c r="H126" i="1"/>
  <c r="F478" i="1"/>
  <c r="G478" i="1"/>
  <c r="H478" i="1"/>
  <c r="H184" i="1"/>
  <c r="F479" i="1"/>
  <c r="G479" i="1"/>
  <c r="H479" i="1"/>
  <c r="H480" i="1"/>
  <c r="C482" i="1"/>
  <c r="E482" i="1"/>
  <c r="F482" i="1"/>
  <c r="G482" i="1"/>
  <c r="H482" i="1"/>
  <c r="C483" i="1"/>
  <c r="E483" i="1"/>
  <c r="F483" i="1"/>
  <c r="G483" i="1"/>
  <c r="H483" i="1"/>
  <c r="C484" i="1"/>
  <c r="E484" i="1"/>
  <c r="F484" i="1"/>
  <c r="G484" i="1"/>
  <c r="H484" i="1"/>
  <c r="H485" i="1"/>
  <c r="H136" i="1"/>
  <c r="H194" i="1"/>
  <c r="E489" i="1"/>
  <c r="H489" i="1"/>
  <c r="H137" i="1"/>
  <c r="H195" i="1"/>
  <c r="E490" i="1"/>
  <c r="H490" i="1"/>
  <c r="H491" i="1"/>
  <c r="H492" i="1"/>
  <c r="E511" i="1"/>
  <c r="E510" i="1"/>
  <c r="H511" i="1"/>
  <c r="J126" i="1"/>
  <c r="F501" i="1"/>
  <c r="G501" i="1"/>
  <c r="H501" i="1"/>
  <c r="J184" i="1"/>
  <c r="F502" i="1"/>
  <c r="G502" i="1"/>
  <c r="H502" i="1"/>
  <c r="H503" i="1"/>
  <c r="C505" i="1"/>
  <c r="E505" i="1"/>
  <c r="F505" i="1"/>
  <c r="G505" i="1"/>
  <c r="H505" i="1"/>
  <c r="C506" i="1"/>
  <c r="E506" i="1"/>
  <c r="F506" i="1"/>
  <c r="G506" i="1"/>
  <c r="H506" i="1"/>
  <c r="C507" i="1"/>
  <c r="E507" i="1"/>
  <c r="F507" i="1"/>
  <c r="G507" i="1"/>
  <c r="H507" i="1"/>
  <c r="H508" i="1"/>
  <c r="J136" i="1"/>
  <c r="J194" i="1"/>
  <c r="E512" i="1"/>
  <c r="H512" i="1"/>
  <c r="J137" i="1"/>
  <c r="J195" i="1"/>
  <c r="E513" i="1"/>
  <c r="H513" i="1"/>
  <c r="H514" i="1"/>
  <c r="H515" i="1"/>
  <c r="H534" i="1"/>
  <c r="E471" i="1"/>
  <c r="H471" i="1"/>
  <c r="E494" i="1"/>
  <c r="H494" i="1"/>
  <c r="E517" i="1"/>
  <c r="H517" i="1"/>
  <c r="F139" i="1"/>
  <c r="F185" i="1"/>
  <c r="F197" i="1"/>
  <c r="E470" i="1"/>
  <c r="H470" i="1"/>
  <c r="H139" i="1"/>
  <c r="H185" i="1"/>
  <c r="H197" i="1"/>
  <c r="E493" i="1"/>
  <c r="H493" i="1"/>
  <c r="J139" i="1"/>
  <c r="J185" i="1"/>
  <c r="J197" i="1"/>
  <c r="E516" i="1"/>
  <c r="H516" i="1"/>
  <c r="H535" i="1"/>
  <c r="H536" i="1"/>
  <c r="H532" i="1"/>
  <c r="H530" i="1"/>
  <c r="H528" i="1"/>
  <c r="H527" i="1"/>
  <c r="H522" i="1"/>
  <c r="H523" i="1"/>
  <c r="H525" i="1"/>
  <c r="H524" i="1"/>
  <c r="F115" i="1"/>
  <c r="E555" i="1"/>
  <c r="E554" i="1"/>
  <c r="H555" i="1"/>
  <c r="F106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H547" i="1"/>
  <c r="C549" i="1"/>
  <c r="E549" i="1"/>
  <c r="F549" i="1"/>
  <c r="G549" i="1"/>
  <c r="H549" i="1"/>
  <c r="C550" i="1"/>
  <c r="E550" i="1"/>
  <c r="F550" i="1"/>
  <c r="G550" i="1"/>
  <c r="H550" i="1"/>
  <c r="C551" i="1"/>
  <c r="E551" i="1"/>
  <c r="F551" i="1"/>
  <c r="G551" i="1"/>
  <c r="H551" i="1"/>
  <c r="H552" i="1"/>
  <c r="F116" i="1"/>
  <c r="F213" i="1"/>
  <c r="F232" i="1"/>
  <c r="E556" i="1"/>
  <c r="H556" i="1"/>
  <c r="F117" i="1"/>
  <c r="E557" i="1"/>
  <c r="H557" i="1"/>
  <c r="E558" i="1"/>
  <c r="H558" i="1"/>
  <c r="H559" i="1"/>
  <c r="H115" i="1"/>
  <c r="E580" i="1"/>
  <c r="E579" i="1"/>
  <c r="H580" i="1"/>
  <c r="H106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H572" i="1"/>
  <c r="C574" i="1"/>
  <c r="E574" i="1"/>
  <c r="F574" i="1"/>
  <c r="G574" i="1"/>
  <c r="H574" i="1"/>
  <c r="C575" i="1"/>
  <c r="E575" i="1"/>
  <c r="F575" i="1"/>
  <c r="G575" i="1"/>
  <c r="H575" i="1"/>
  <c r="C576" i="1"/>
  <c r="E576" i="1"/>
  <c r="F576" i="1"/>
  <c r="G576" i="1"/>
  <c r="H576" i="1"/>
  <c r="H577" i="1"/>
  <c r="H116" i="1"/>
  <c r="H213" i="1"/>
  <c r="H232" i="1"/>
  <c r="E581" i="1"/>
  <c r="H581" i="1"/>
  <c r="H117" i="1"/>
  <c r="E582" i="1"/>
  <c r="H582" i="1"/>
  <c r="E583" i="1"/>
  <c r="H583" i="1"/>
  <c r="H584" i="1"/>
  <c r="J115" i="1"/>
  <c r="E605" i="1"/>
  <c r="E604" i="1"/>
  <c r="H605" i="1"/>
  <c r="J106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H597" i="1"/>
  <c r="C599" i="1"/>
  <c r="E599" i="1"/>
  <c r="F599" i="1"/>
  <c r="G599" i="1"/>
  <c r="H599" i="1"/>
  <c r="C600" i="1"/>
  <c r="E600" i="1"/>
  <c r="F600" i="1"/>
  <c r="G600" i="1"/>
  <c r="H600" i="1"/>
  <c r="C601" i="1"/>
  <c r="E601" i="1"/>
  <c r="F601" i="1"/>
  <c r="G601" i="1"/>
  <c r="H601" i="1"/>
  <c r="H602" i="1"/>
  <c r="J116" i="1"/>
  <c r="J213" i="1"/>
  <c r="J232" i="1"/>
  <c r="E606" i="1"/>
  <c r="H606" i="1"/>
  <c r="J117" i="1"/>
  <c r="E607" i="1"/>
  <c r="H607" i="1"/>
  <c r="E608" i="1"/>
  <c r="H608" i="1"/>
  <c r="H609" i="1"/>
  <c r="H629" i="1"/>
  <c r="F109" i="1"/>
  <c r="F111" i="1"/>
  <c r="F120" i="1"/>
  <c r="F216" i="1"/>
  <c r="F254" i="1"/>
  <c r="F235" i="1"/>
  <c r="E560" i="1"/>
  <c r="H560" i="1"/>
  <c r="H109" i="1"/>
  <c r="H111" i="1"/>
  <c r="H120" i="1"/>
  <c r="H216" i="1"/>
  <c r="H254" i="1"/>
  <c r="H235" i="1"/>
  <c r="E585" i="1"/>
  <c r="H585" i="1"/>
  <c r="J109" i="1"/>
  <c r="J111" i="1"/>
  <c r="J120" i="1"/>
  <c r="J216" i="1"/>
  <c r="J254" i="1"/>
  <c r="J235" i="1"/>
  <c r="E610" i="1"/>
  <c r="H610" i="1"/>
  <c r="H630" i="1"/>
  <c r="H631" i="1"/>
  <c r="H627" i="1"/>
  <c r="H625" i="1"/>
  <c r="H617" i="1"/>
  <c r="H618" i="1"/>
  <c r="H620" i="1"/>
  <c r="H619" i="1"/>
  <c r="E502" i="1"/>
  <c r="E479" i="1"/>
  <c r="E456" i="1"/>
  <c r="G46" i="1"/>
  <c r="G55" i="1"/>
  <c r="G63" i="1"/>
  <c r="I46" i="1"/>
  <c r="I55" i="1"/>
  <c r="I63" i="1"/>
  <c r="G62" i="1"/>
  <c r="I62" i="1"/>
  <c r="G56" i="1"/>
  <c r="I56" i="1"/>
  <c r="G50" i="1"/>
  <c r="I50" i="1"/>
  <c r="G45" i="1"/>
  <c r="I45" i="1"/>
  <c r="F47" i="1"/>
  <c r="E283" i="1"/>
  <c r="J108" i="1"/>
  <c r="J110" i="1"/>
  <c r="J112" i="1"/>
  <c r="J121" i="1"/>
  <c r="E348" i="1"/>
  <c r="H108" i="1"/>
  <c r="H110" i="1"/>
  <c r="H112" i="1"/>
  <c r="H121" i="1"/>
  <c r="E318" i="1"/>
  <c r="F108" i="1"/>
  <c r="F110" i="1"/>
  <c r="F112" i="1"/>
  <c r="F121" i="1"/>
  <c r="E288" i="1"/>
  <c r="E347" i="1"/>
  <c r="E317" i="1"/>
  <c r="E287" i="1"/>
  <c r="E344" i="1"/>
  <c r="E314" i="1"/>
  <c r="E284" i="1"/>
  <c r="E343" i="1"/>
  <c r="E313" i="1"/>
  <c r="E341" i="1"/>
  <c r="E311" i="1"/>
  <c r="E281" i="1"/>
  <c r="E337" i="1"/>
  <c r="F337" i="1"/>
  <c r="G337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E336" i="1"/>
  <c r="F336" i="1"/>
  <c r="G336" i="1"/>
  <c r="F332" i="1"/>
  <c r="G332" i="1"/>
  <c r="F333" i="1"/>
  <c r="G333" i="1"/>
  <c r="E338" i="1"/>
  <c r="F338" i="1"/>
  <c r="G338" i="1"/>
  <c r="H340" i="1"/>
  <c r="E307" i="1"/>
  <c r="F307" i="1"/>
  <c r="G307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E306" i="1"/>
  <c r="F306" i="1"/>
  <c r="G306" i="1"/>
  <c r="F302" i="1"/>
  <c r="G302" i="1"/>
  <c r="F303" i="1"/>
  <c r="G303" i="1"/>
  <c r="E308" i="1"/>
  <c r="F308" i="1"/>
  <c r="G308" i="1"/>
  <c r="H310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E276" i="1"/>
  <c r="F276" i="1"/>
  <c r="G276" i="1"/>
  <c r="E277" i="1"/>
  <c r="F277" i="1"/>
  <c r="G277" i="1"/>
  <c r="E278" i="1"/>
  <c r="F278" i="1"/>
  <c r="G278" i="1"/>
  <c r="H280" i="1"/>
  <c r="H325" i="1"/>
  <c r="H326" i="1"/>
  <c r="H327" i="1"/>
  <c r="H328" i="1"/>
  <c r="H329" i="1"/>
  <c r="H330" i="1"/>
  <c r="H331" i="1"/>
  <c r="H332" i="1"/>
  <c r="H333" i="1"/>
  <c r="H334" i="1"/>
  <c r="E333" i="1"/>
  <c r="E332" i="1"/>
  <c r="H295" i="1"/>
  <c r="H296" i="1"/>
  <c r="H297" i="1"/>
  <c r="H298" i="1"/>
  <c r="H299" i="1"/>
  <c r="H300" i="1"/>
  <c r="H301" i="1"/>
  <c r="H302" i="1"/>
  <c r="H303" i="1"/>
  <c r="H304" i="1"/>
  <c r="E303" i="1"/>
  <c r="E302" i="1"/>
  <c r="H265" i="1"/>
  <c r="H266" i="1"/>
  <c r="H267" i="1"/>
  <c r="H268" i="1"/>
  <c r="H269" i="1"/>
  <c r="H270" i="1"/>
  <c r="H271" i="1"/>
  <c r="H272" i="1"/>
  <c r="H273" i="1"/>
  <c r="H274" i="1"/>
  <c r="E273" i="1"/>
  <c r="E272" i="1"/>
  <c r="J248" i="1"/>
  <c r="H248" i="1"/>
  <c r="F248" i="1"/>
  <c r="E611" i="1"/>
  <c r="E586" i="1"/>
  <c r="E561" i="1"/>
  <c r="E596" i="1"/>
  <c r="E595" i="1"/>
  <c r="E594" i="1"/>
  <c r="E571" i="1"/>
  <c r="E570" i="1"/>
  <c r="E569" i="1"/>
  <c r="E546" i="1"/>
  <c r="E545" i="1"/>
  <c r="E544" i="1"/>
  <c r="F2" i="1"/>
  <c r="H47" i="1"/>
  <c r="H2" i="1"/>
  <c r="J47" i="1"/>
  <c r="J2" i="1"/>
  <c r="L2" i="1"/>
  <c r="F75" i="1"/>
  <c r="F80" i="1"/>
  <c r="F83" i="1"/>
  <c r="F3" i="1"/>
  <c r="H75" i="1"/>
  <c r="H80" i="1"/>
  <c r="H83" i="1"/>
  <c r="H3" i="1"/>
  <c r="J75" i="1"/>
  <c r="J80" i="1"/>
  <c r="J83" i="1"/>
  <c r="J3" i="1"/>
  <c r="L3" i="1"/>
  <c r="F94" i="1"/>
  <c r="F99" i="1"/>
  <c r="F102" i="1"/>
  <c r="F4" i="1"/>
  <c r="H94" i="1"/>
  <c r="H99" i="1"/>
  <c r="H102" i="1"/>
  <c r="H4" i="1"/>
  <c r="J94" i="1"/>
  <c r="J99" i="1"/>
  <c r="J102" i="1"/>
  <c r="J4" i="1"/>
  <c r="L4" i="1"/>
  <c r="F113" i="1"/>
  <c r="F119" i="1"/>
  <c r="F122" i="1"/>
  <c r="F5" i="1"/>
  <c r="H113" i="1"/>
  <c r="H119" i="1"/>
  <c r="H122" i="1"/>
  <c r="H5" i="1"/>
  <c r="J113" i="1"/>
  <c r="J119" i="1"/>
  <c r="J122" i="1"/>
  <c r="J5" i="1"/>
  <c r="L5" i="1"/>
  <c r="F133" i="1"/>
  <c r="F138" i="1"/>
  <c r="F141" i="1"/>
  <c r="F6" i="1"/>
  <c r="H133" i="1"/>
  <c r="H138" i="1"/>
  <c r="H141" i="1"/>
  <c r="H6" i="1"/>
  <c r="J133" i="1"/>
  <c r="J138" i="1"/>
  <c r="J141" i="1"/>
  <c r="J6" i="1"/>
  <c r="L6" i="1"/>
  <c r="F152" i="1"/>
  <c r="F157" i="1"/>
  <c r="F160" i="1"/>
  <c r="F7" i="1"/>
  <c r="H152" i="1"/>
  <c r="H157" i="1"/>
  <c r="H160" i="1"/>
  <c r="H7" i="1"/>
  <c r="J152" i="1"/>
  <c r="J157" i="1"/>
  <c r="J160" i="1"/>
  <c r="J7" i="1"/>
  <c r="L7" i="1"/>
  <c r="F172" i="1"/>
  <c r="F177" i="1"/>
  <c r="F180" i="1"/>
  <c r="F8" i="1"/>
  <c r="H172" i="1"/>
  <c r="H177" i="1"/>
  <c r="H180" i="1"/>
  <c r="H8" i="1"/>
  <c r="J172" i="1"/>
  <c r="J177" i="1"/>
  <c r="J180" i="1"/>
  <c r="J8" i="1"/>
  <c r="L8" i="1"/>
  <c r="F191" i="1"/>
  <c r="F196" i="1"/>
  <c r="F199" i="1"/>
  <c r="F9" i="1"/>
  <c r="H191" i="1"/>
  <c r="H196" i="1"/>
  <c r="H199" i="1"/>
  <c r="H9" i="1"/>
  <c r="J191" i="1"/>
  <c r="J196" i="1"/>
  <c r="J199" i="1"/>
  <c r="J9" i="1"/>
  <c r="L9" i="1"/>
  <c r="F210" i="1"/>
  <c r="F215" i="1"/>
  <c r="F218" i="1"/>
  <c r="F10" i="1"/>
  <c r="H210" i="1"/>
  <c r="H215" i="1"/>
  <c r="H218" i="1"/>
  <c r="H10" i="1"/>
  <c r="J210" i="1"/>
  <c r="J215" i="1"/>
  <c r="J218" i="1"/>
  <c r="J10" i="1"/>
  <c r="L10" i="1"/>
  <c r="F253" i="1"/>
  <c r="F256" i="1"/>
  <c r="F11" i="1"/>
  <c r="H253" i="1"/>
  <c r="H256" i="1"/>
  <c r="H11" i="1"/>
  <c r="J253" i="1"/>
  <c r="J256" i="1"/>
  <c r="J11" i="1"/>
  <c r="L11" i="1"/>
  <c r="F229" i="1"/>
  <c r="F234" i="1"/>
  <c r="F237" i="1"/>
  <c r="F12" i="1"/>
  <c r="H229" i="1"/>
  <c r="H234" i="1"/>
  <c r="H237" i="1"/>
  <c r="H12" i="1"/>
  <c r="J229" i="1"/>
  <c r="J234" i="1"/>
  <c r="J237" i="1"/>
  <c r="J12" i="1"/>
  <c r="L12" i="1"/>
  <c r="L13" i="1"/>
  <c r="J20" i="1"/>
  <c r="H20" i="1"/>
  <c r="F20" i="1"/>
  <c r="H611" i="1"/>
  <c r="H612" i="1"/>
  <c r="H603" i="1"/>
  <c r="H586" i="1"/>
  <c r="H587" i="1"/>
  <c r="H561" i="1"/>
  <c r="H562" i="1"/>
  <c r="H553" i="1"/>
  <c r="H578" i="1"/>
  <c r="E593" i="1"/>
  <c r="E568" i="1"/>
  <c r="E543" i="1"/>
  <c r="H518" i="1"/>
  <c r="H509" i="1"/>
  <c r="H495" i="1"/>
  <c r="H486" i="1"/>
  <c r="E501" i="1"/>
  <c r="E478" i="1"/>
  <c r="H472" i="1"/>
  <c r="H430" i="1"/>
  <c r="H404" i="1"/>
  <c r="H421" i="1"/>
  <c r="H395" i="1"/>
  <c r="H369" i="1"/>
  <c r="E414" i="1"/>
  <c r="E413" i="1"/>
  <c r="E412" i="1"/>
  <c r="E411" i="1"/>
  <c r="E410" i="1"/>
  <c r="E388" i="1"/>
  <c r="E387" i="1"/>
  <c r="E386" i="1"/>
  <c r="E385" i="1"/>
  <c r="E384" i="1"/>
  <c r="G24" i="1"/>
  <c r="H18" i="1"/>
  <c r="H15" i="1"/>
  <c r="H24" i="1"/>
  <c r="I24" i="1"/>
  <c r="J18" i="1"/>
  <c r="J15" i="1"/>
  <c r="J24" i="1"/>
  <c r="F18" i="1"/>
  <c r="F15" i="1"/>
  <c r="F24" i="1"/>
  <c r="E282" i="1"/>
  <c r="H282" i="1"/>
  <c r="H284" i="1"/>
  <c r="H276" i="1"/>
  <c r="H277" i="1"/>
  <c r="H278" i="1"/>
  <c r="H279" i="1"/>
  <c r="H283" i="1"/>
  <c r="E285" i="1"/>
  <c r="H285" i="1"/>
  <c r="H286" i="1"/>
  <c r="H288" i="1"/>
  <c r="H287" i="1"/>
  <c r="H289" i="1"/>
  <c r="E312" i="1"/>
  <c r="H312" i="1"/>
  <c r="H314" i="1"/>
  <c r="H306" i="1"/>
  <c r="H307" i="1"/>
  <c r="H308" i="1"/>
  <c r="H309" i="1"/>
  <c r="H313" i="1"/>
  <c r="E315" i="1"/>
  <c r="H315" i="1"/>
  <c r="H316" i="1"/>
  <c r="H318" i="1"/>
  <c r="H317" i="1"/>
  <c r="H319" i="1"/>
  <c r="E342" i="1"/>
  <c r="H342" i="1"/>
  <c r="H344" i="1"/>
  <c r="H336" i="1"/>
  <c r="H337" i="1"/>
  <c r="H338" i="1"/>
  <c r="H339" i="1"/>
  <c r="H343" i="1"/>
  <c r="E345" i="1"/>
  <c r="H345" i="1"/>
  <c r="H346" i="1"/>
  <c r="H348" i="1"/>
  <c r="H347" i="1"/>
  <c r="H349" i="1"/>
  <c r="H352" i="1"/>
  <c r="H463" i="1"/>
  <c r="E455" i="1"/>
  <c r="E362" i="1"/>
  <c r="E361" i="1"/>
  <c r="E360" i="1"/>
  <c r="E359" i="1"/>
  <c r="E358" i="1"/>
  <c r="J16" i="1"/>
  <c r="J21" i="1"/>
  <c r="J19" i="1"/>
  <c r="J25" i="1"/>
  <c r="G51" i="1"/>
  <c r="E331" i="1"/>
  <c r="E330" i="1"/>
  <c r="E329" i="1"/>
  <c r="E328" i="1"/>
  <c r="E327" i="1"/>
  <c r="E326" i="1"/>
  <c r="E325" i="1"/>
  <c r="E301" i="1"/>
  <c r="E300" i="1"/>
  <c r="E299" i="1"/>
  <c r="E298" i="1"/>
  <c r="E297" i="1"/>
  <c r="E296" i="1"/>
  <c r="E295" i="1"/>
  <c r="E270" i="1"/>
  <c r="E271" i="1"/>
  <c r="E269" i="1"/>
  <c r="E268" i="1"/>
  <c r="E267" i="1"/>
  <c r="E266" i="1"/>
  <c r="E265" i="1"/>
  <c r="H378" i="1"/>
</calcChain>
</file>

<file path=xl/sharedStrings.xml><?xml version="1.0" encoding="utf-8"?>
<sst xmlns="http://schemas.openxmlformats.org/spreadsheetml/2006/main" count="906" uniqueCount="151">
  <si>
    <t xml:space="preserve">Name </t>
  </si>
  <si>
    <t>Research Area</t>
  </si>
  <si>
    <t>Year 1 Budget</t>
  </si>
  <si>
    <t>Year 2 Budget</t>
  </si>
  <si>
    <t>Year 3 Budget</t>
  </si>
  <si>
    <t>Total Budget</t>
  </si>
  <si>
    <t>Lead PI</t>
  </si>
  <si>
    <t>co-PI</t>
  </si>
  <si>
    <t>A White</t>
  </si>
  <si>
    <t>K. De</t>
  </si>
  <si>
    <t>A. Brandt</t>
  </si>
  <si>
    <t>J. Yu</t>
  </si>
  <si>
    <t>A. Farbin</t>
  </si>
  <si>
    <t>A. White</t>
  </si>
  <si>
    <t>EF</t>
  </si>
  <si>
    <t>IF</t>
  </si>
  <si>
    <t>A.Farbin</t>
  </si>
  <si>
    <t>Summer</t>
  </si>
  <si>
    <t>Postdoc</t>
  </si>
  <si>
    <t>GRA</t>
  </si>
  <si>
    <t>Travel</t>
  </si>
  <si>
    <t>Tuition</t>
  </si>
  <si>
    <t>M&amp;S</t>
  </si>
  <si>
    <t>Total direct</t>
  </si>
  <si>
    <t>TOTAL</t>
  </si>
  <si>
    <t>Fraction</t>
  </si>
  <si>
    <t>Number</t>
  </si>
  <si>
    <t>Basic values</t>
  </si>
  <si>
    <t>Inflation factor</t>
  </si>
  <si>
    <t>Travel per faculty</t>
  </si>
  <si>
    <t>COLA</t>
  </si>
  <si>
    <t>M&amp;S per faculty</t>
  </si>
  <si>
    <t>K.De</t>
  </si>
  <si>
    <t>A.Brandt</t>
  </si>
  <si>
    <t>J.Yu</t>
  </si>
  <si>
    <t>COLA CERN</t>
  </si>
  <si>
    <t>Num Y1</t>
  </si>
  <si>
    <t>Num Y2</t>
  </si>
  <si>
    <t>Num Y3</t>
  </si>
  <si>
    <t>R&amp;R Budget</t>
  </si>
  <si>
    <t>Year 1</t>
  </si>
  <si>
    <t>Name</t>
  </si>
  <si>
    <t>Base Salary</t>
  </si>
  <si>
    <t>Requested Salary</t>
  </si>
  <si>
    <t>Fringe</t>
  </si>
  <si>
    <t>Total</t>
  </si>
  <si>
    <t>AW</t>
  </si>
  <si>
    <t>KD</t>
  </si>
  <si>
    <t>AB</t>
  </si>
  <si>
    <t>JY</t>
  </si>
  <si>
    <t>AF</t>
  </si>
  <si>
    <t>Total Direct Costs</t>
  </si>
  <si>
    <t>TOTAL COSTS</t>
  </si>
  <si>
    <t>Total travel</t>
  </si>
  <si>
    <t>Indirect costs 51.5%</t>
  </si>
  <si>
    <t>Indirect costs 26%</t>
  </si>
  <si>
    <t>Total senior</t>
  </si>
  <si>
    <t>Total other</t>
  </si>
  <si>
    <t>Indirect check</t>
  </si>
  <si>
    <t>Total Fringe</t>
  </si>
  <si>
    <t>Year 2</t>
  </si>
  <si>
    <t>Year 3</t>
  </si>
  <si>
    <t>H.Hadavand</t>
  </si>
  <si>
    <t>D</t>
  </si>
  <si>
    <t>J.Asaadi</t>
  </si>
  <si>
    <t>AW Summer 2017</t>
  </si>
  <si>
    <t>KD Summer 2017</t>
  </si>
  <si>
    <t>AB Summer 2017</t>
  </si>
  <si>
    <t>JY Summer 2017</t>
  </si>
  <si>
    <t>AF Summer 2017</t>
  </si>
  <si>
    <t>HH Summer 2017</t>
  </si>
  <si>
    <t>JA Summer 2017</t>
  </si>
  <si>
    <t>Postdoc 2017</t>
  </si>
  <si>
    <t>GRA 2017</t>
  </si>
  <si>
    <t>Tuition 2017</t>
  </si>
  <si>
    <t>Detector R&amp;D</t>
  </si>
  <si>
    <t>HH</t>
  </si>
  <si>
    <t>JA</t>
  </si>
  <si>
    <t>Equipment</t>
  </si>
  <si>
    <t>Equpiment</t>
  </si>
  <si>
    <t>EF TOTALS</t>
  </si>
  <si>
    <t>IF TOTALS</t>
  </si>
  <si>
    <t>Det R&amp;D TOTALS</t>
  </si>
  <si>
    <t>Undergraduate</t>
  </si>
  <si>
    <t>UG</t>
  </si>
  <si>
    <t>ON</t>
  </si>
  <si>
    <t>OFF</t>
  </si>
  <si>
    <t>Grand Total</t>
  </si>
  <si>
    <t>Indirect 51.5%</t>
  </si>
  <si>
    <t>Indirect 26%</t>
  </si>
  <si>
    <t>GRAND 3Y TOTAL</t>
  </si>
  <si>
    <t>COLA CERN Postdoc</t>
  </si>
  <si>
    <t>COLA FNAL Postdoc</t>
  </si>
  <si>
    <t>COLA CERN GRA</t>
  </si>
  <si>
    <t>COLA FNAL GRA</t>
  </si>
  <si>
    <t>COLA FNAL/CERN</t>
  </si>
  <si>
    <t>D.Nygren</t>
  </si>
  <si>
    <t>B.Jones</t>
  </si>
  <si>
    <t>DN Summer 2017</t>
  </si>
  <si>
    <t>BJ Summer 2017</t>
  </si>
  <si>
    <t>J. Asaadi</t>
  </si>
  <si>
    <t>B. Jones</t>
  </si>
  <si>
    <t>D. Nygren</t>
  </si>
  <si>
    <t>DN</t>
  </si>
  <si>
    <t>BJ</t>
  </si>
  <si>
    <t>Total indirect</t>
  </si>
  <si>
    <t>ATLAS direct</t>
  </si>
  <si>
    <t>ILC direct</t>
  </si>
  <si>
    <t>ATLAS Fringe</t>
  </si>
  <si>
    <t>ILC Fringe</t>
  </si>
  <si>
    <t>Total Travel</t>
  </si>
  <si>
    <t>ATLAS Travel</t>
  </si>
  <si>
    <t>ILC Travel</t>
  </si>
  <si>
    <t>ATLAS TOTAL Ind</t>
  </si>
  <si>
    <t>ILC Total Ind</t>
  </si>
  <si>
    <t>ATLAS TOTAL</t>
  </si>
  <si>
    <t>ILC TOTAL</t>
  </si>
  <si>
    <t>Base 12 month</t>
  </si>
  <si>
    <t>Senior</t>
  </si>
  <si>
    <t>Det Cumulative</t>
  </si>
  <si>
    <t>Other</t>
  </si>
  <si>
    <t>Number other</t>
  </si>
  <si>
    <t>Total SWF</t>
  </si>
  <si>
    <t>Travel Dom</t>
  </si>
  <si>
    <t>Travel Foreign</t>
  </si>
  <si>
    <t>Total Direct</t>
  </si>
  <si>
    <t>Indirect</t>
  </si>
  <si>
    <t>IF Cumulative</t>
  </si>
  <si>
    <t>EF Cumulative</t>
  </si>
  <si>
    <t>Personnel table</t>
  </si>
  <si>
    <t>PI</t>
  </si>
  <si>
    <t>Title</t>
  </si>
  <si>
    <t>Months</t>
  </si>
  <si>
    <t>Req. Salary</t>
  </si>
  <si>
    <t>Req. Fringe</t>
  </si>
  <si>
    <t>Total req. cost</t>
  </si>
  <si>
    <t>EF PD</t>
  </si>
  <si>
    <t>IF PD</t>
  </si>
  <si>
    <t>POSTDOCS</t>
  </si>
  <si>
    <t>GRAs</t>
  </si>
  <si>
    <t>TBD</t>
  </si>
  <si>
    <t>EF GRA</t>
  </si>
  <si>
    <t>IF GRA</t>
  </si>
  <si>
    <t>Det GRA</t>
  </si>
  <si>
    <t>Undergrads</t>
  </si>
  <si>
    <t>EF UG</t>
  </si>
  <si>
    <t>IF UG</t>
  </si>
  <si>
    <t>Det UG</t>
  </si>
  <si>
    <t>Det PD</t>
  </si>
  <si>
    <t>KD, AF</t>
  </si>
  <si>
    <t>HH,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</si>
</sst>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0" fillId="3" borderId="0" xfId="0" applyNumberFormat="1" applyFill="1"/>
    <xf numFmtId="1" fontId="0" fillId="6" borderId="0" xfId="0" applyNumberFormat="1" applyFill="1"/>
    <xf numFmtId="1" fontId="0" fillId="5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1"/>
  <sheetViews>
    <sheetView tabSelected="1" topLeftCell="A113" zoomScale="90" zoomScaleNormal="90" workbookViewId="0">
      <selection activeCell="F134" sqref="F134"/>
    </sheetView>
  </sheetViews>
  <sheetFormatPr defaultRowHeight="15" x14ac:dyDescent="0.25"/>
  <cols>
    <col min="1" max="1" width="19.140625" customWidth="1"/>
    <col min="2" max="3" width="17.85546875" customWidth="1"/>
    <col min="4" max="4" width="19.85546875" customWidth="1"/>
    <col min="5" max="5" width="10.7109375" customWidth="1"/>
    <col min="6" max="6" width="16" customWidth="1"/>
    <col min="7" max="7" width="14.28515625" customWidth="1"/>
    <col min="8" max="8" width="15.5703125" customWidth="1"/>
    <col min="9" max="9" width="13.7109375" customWidth="1"/>
    <col min="10" max="10" width="16" customWidth="1"/>
    <col min="11" max="11" width="12.85546875" customWidth="1"/>
    <col min="12" max="12" width="14.85546875" customWidth="1"/>
    <col min="13" max="13" width="14.28515625" customWidth="1"/>
  </cols>
  <sheetData>
    <row r="1" spans="1:13" x14ac:dyDescent="0.25">
      <c r="B1" s="1" t="s">
        <v>0</v>
      </c>
      <c r="C1" s="1" t="s">
        <v>1</v>
      </c>
      <c r="D1" s="1" t="s">
        <v>25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</row>
    <row r="2" spans="1:13" x14ac:dyDescent="0.25">
      <c r="A2" t="s">
        <v>6</v>
      </c>
      <c r="B2" s="1" t="s">
        <v>8</v>
      </c>
      <c r="C2" s="1" t="s">
        <v>14</v>
      </c>
      <c r="D2" s="1">
        <v>1</v>
      </c>
      <c r="E2" s="1"/>
      <c r="F2" s="14">
        <f>F64</f>
        <v>130155.856</v>
      </c>
      <c r="G2" s="14"/>
      <c r="H2" s="14">
        <f>H64</f>
        <v>132428.37418000001</v>
      </c>
      <c r="I2" s="13"/>
      <c r="J2" s="14">
        <f>J64</f>
        <v>160554.94610540001</v>
      </c>
      <c r="K2" s="14"/>
      <c r="L2" s="14">
        <f>F2+H2+J2</f>
        <v>423139.17628540006</v>
      </c>
    </row>
    <row r="3" spans="1:13" x14ac:dyDescent="0.25">
      <c r="A3" t="s">
        <v>7</v>
      </c>
      <c r="B3" s="1" t="s">
        <v>9</v>
      </c>
      <c r="C3" s="1" t="s">
        <v>14</v>
      </c>
      <c r="D3" s="1">
        <v>1</v>
      </c>
      <c r="E3" s="1"/>
      <c r="F3" s="14">
        <f>F83</f>
        <v>262290.02600000001</v>
      </c>
      <c r="G3" s="13"/>
      <c r="H3" s="14">
        <f>H83</f>
        <v>268293.56753</v>
      </c>
      <c r="I3" s="13"/>
      <c r="J3" s="14">
        <f>J83</f>
        <v>274477.21530590003</v>
      </c>
      <c r="K3" s="14"/>
      <c r="L3" s="14">
        <f t="shared" ref="L3:L9" si="0">F3+H3+J3</f>
        <v>805060.80883589992</v>
      </c>
    </row>
    <row r="4" spans="1:13" x14ac:dyDescent="0.25">
      <c r="A4" t="s">
        <v>7</v>
      </c>
      <c r="B4" s="1" t="s">
        <v>10</v>
      </c>
      <c r="C4" s="1" t="s">
        <v>14</v>
      </c>
      <c r="D4" s="1">
        <v>0.5</v>
      </c>
      <c r="E4" s="1"/>
      <c r="F4" s="14">
        <f>F102</f>
        <v>121490.533</v>
      </c>
      <c r="G4" s="13"/>
      <c r="H4" s="14">
        <f>H102</f>
        <v>124143.64399</v>
      </c>
      <c r="I4" s="13"/>
      <c r="J4" s="14">
        <f>J102</f>
        <v>185891.71170970003</v>
      </c>
      <c r="K4" s="14"/>
      <c r="L4" s="14">
        <f t="shared" si="0"/>
        <v>431525.88869970001</v>
      </c>
    </row>
    <row r="5" spans="1:13" x14ac:dyDescent="0.25">
      <c r="A5" t="s">
        <v>7</v>
      </c>
      <c r="B5" s="1" t="s">
        <v>33</v>
      </c>
      <c r="C5" s="1" t="s">
        <v>63</v>
      </c>
      <c r="D5" s="1">
        <v>0.5</v>
      </c>
      <c r="E5" s="1"/>
      <c r="F5" s="14">
        <f>F122</f>
        <v>81177.032999999996</v>
      </c>
      <c r="G5" s="13"/>
      <c r="H5" s="14">
        <f>H122</f>
        <v>83498.718989999994</v>
      </c>
      <c r="I5" s="13"/>
      <c r="J5" s="14">
        <f>J122</f>
        <v>45912.856709699998</v>
      </c>
      <c r="K5" s="14"/>
      <c r="L5" s="14">
        <f t="shared" si="0"/>
        <v>210588.60869969998</v>
      </c>
    </row>
    <row r="6" spans="1:13" x14ac:dyDescent="0.25">
      <c r="A6" t="s">
        <v>7</v>
      </c>
      <c r="B6" s="1" t="s">
        <v>11</v>
      </c>
      <c r="C6" s="1" t="s">
        <v>15</v>
      </c>
      <c r="D6" s="1">
        <v>1</v>
      </c>
      <c r="E6" s="1"/>
      <c r="F6" s="14">
        <f>F141</f>
        <v>238521.83050000001</v>
      </c>
      <c r="G6" s="13"/>
      <c r="H6" s="14">
        <f>H141</f>
        <v>247961.50353999998</v>
      </c>
      <c r="I6" s="13"/>
      <c r="J6" s="14">
        <f>J141</f>
        <v>252168.16237120001</v>
      </c>
      <c r="K6" s="14"/>
      <c r="L6" s="14">
        <f t="shared" si="0"/>
        <v>738651.49641120003</v>
      </c>
    </row>
    <row r="7" spans="1:13" x14ac:dyDescent="0.25">
      <c r="A7" t="s">
        <v>7</v>
      </c>
      <c r="B7" s="1" t="s">
        <v>12</v>
      </c>
      <c r="C7" s="1" t="s">
        <v>14</v>
      </c>
      <c r="D7" s="1">
        <v>1</v>
      </c>
      <c r="E7" s="1"/>
      <c r="F7" s="14">
        <f>F160</f>
        <v>221355.88699999999</v>
      </c>
      <c r="G7" s="13"/>
      <c r="H7" s="14">
        <f>H160</f>
        <v>226831.57061</v>
      </c>
      <c r="I7" s="13"/>
      <c r="J7" s="14">
        <f>J160</f>
        <v>232471.52472830002</v>
      </c>
      <c r="K7" s="14"/>
      <c r="L7" s="14">
        <f t="shared" si="0"/>
        <v>680658.98233829997</v>
      </c>
    </row>
    <row r="8" spans="1:13" x14ac:dyDescent="0.25">
      <c r="A8" t="s">
        <v>7</v>
      </c>
      <c r="B8" s="1" t="s">
        <v>62</v>
      </c>
      <c r="C8" s="1" t="s">
        <v>14</v>
      </c>
      <c r="D8" s="1">
        <v>1</v>
      </c>
      <c r="F8" s="14">
        <f>F180</f>
        <v>163892.255</v>
      </c>
      <c r="G8" s="13"/>
      <c r="H8" s="14">
        <f>H180</f>
        <v>167226.71765000001</v>
      </c>
      <c r="I8" s="13"/>
      <c r="J8" s="14">
        <f>J180</f>
        <v>170661.21417950001</v>
      </c>
      <c r="K8" s="14"/>
      <c r="L8" s="14">
        <f t="shared" si="0"/>
        <v>501780.18682950002</v>
      </c>
    </row>
    <row r="9" spans="1:13" x14ac:dyDescent="0.25">
      <c r="A9" t="s">
        <v>7</v>
      </c>
      <c r="B9" s="1" t="s">
        <v>64</v>
      </c>
      <c r="C9" s="1" t="s">
        <v>15</v>
      </c>
      <c r="D9" s="1">
        <v>1</v>
      </c>
      <c r="F9" s="14">
        <f>F199</f>
        <v>173432.1385</v>
      </c>
      <c r="G9" s="13"/>
      <c r="H9" s="14">
        <f>H199</f>
        <v>231213.50578000001</v>
      </c>
      <c r="I9" s="13"/>
      <c r="J9" s="14">
        <f>J199</f>
        <v>234917.7246784</v>
      </c>
      <c r="K9" s="14"/>
      <c r="L9" s="14">
        <f t="shared" si="0"/>
        <v>639563.36895839998</v>
      </c>
    </row>
    <row r="10" spans="1:13" x14ac:dyDescent="0.25">
      <c r="A10" t="s">
        <v>7</v>
      </c>
      <c r="B10" s="1" t="s">
        <v>64</v>
      </c>
      <c r="C10" s="1" t="s">
        <v>63</v>
      </c>
      <c r="D10" s="1">
        <v>0</v>
      </c>
      <c r="F10" s="14">
        <f>F218</f>
        <v>33658</v>
      </c>
      <c r="G10" s="13"/>
      <c r="H10" s="14">
        <f>H218</f>
        <v>34257.94</v>
      </c>
      <c r="I10" s="13"/>
      <c r="J10" s="14">
        <f>J218</f>
        <v>34875.878200000006</v>
      </c>
      <c r="K10" s="14"/>
      <c r="L10" s="14">
        <f>F10+H10+J10</f>
        <v>102791.81820000001</v>
      </c>
    </row>
    <row r="11" spans="1:13" x14ac:dyDescent="0.25">
      <c r="A11" t="s">
        <v>7</v>
      </c>
      <c r="B11" s="1" t="s">
        <v>96</v>
      </c>
      <c r="C11" s="1" t="s">
        <v>63</v>
      </c>
      <c r="D11" s="1">
        <v>0</v>
      </c>
      <c r="F11" s="14">
        <f>F256</f>
        <v>17545</v>
      </c>
      <c r="G11" s="13"/>
      <c r="H11" s="14">
        <f>H256</f>
        <v>17545</v>
      </c>
      <c r="I11" s="13"/>
      <c r="J11" s="14">
        <f>J256</f>
        <v>17545</v>
      </c>
      <c r="K11" s="14"/>
      <c r="L11" s="14">
        <f t="shared" ref="L11:L12" si="1">F11+H11+J11</f>
        <v>52635</v>
      </c>
    </row>
    <row r="12" spans="1:13" x14ac:dyDescent="0.25">
      <c r="A12" t="s">
        <v>7</v>
      </c>
      <c r="B12" s="1" t="s">
        <v>97</v>
      </c>
      <c r="C12" s="1" t="s">
        <v>63</v>
      </c>
      <c r="D12" s="1">
        <v>0</v>
      </c>
      <c r="F12" s="14">
        <f>F237</f>
        <v>39718</v>
      </c>
      <c r="G12" s="13"/>
      <c r="H12" s="14">
        <f>H237</f>
        <v>40317.94</v>
      </c>
      <c r="I12" s="13"/>
      <c r="J12" s="14">
        <f>J237</f>
        <v>33360.878200000006</v>
      </c>
      <c r="K12" s="14"/>
      <c r="L12" s="14">
        <f t="shared" si="1"/>
        <v>113396.81820000001</v>
      </c>
    </row>
    <row r="13" spans="1:13" x14ac:dyDescent="0.25">
      <c r="L13" s="30">
        <f>SUM(L2:L12)</f>
        <v>4699792.1534580989</v>
      </c>
    </row>
    <row r="14" spans="1:13" x14ac:dyDescent="0.25">
      <c r="A14" t="s">
        <v>27</v>
      </c>
    </row>
    <row r="15" spans="1:13" x14ac:dyDescent="0.25">
      <c r="A15" t="s">
        <v>65</v>
      </c>
      <c r="B15">
        <v>14154</v>
      </c>
      <c r="C15">
        <f>B15*12</f>
        <v>169848</v>
      </c>
      <c r="D15" t="s">
        <v>80</v>
      </c>
      <c r="F15" s="27">
        <f>F2+F3+F4+F7+F8</f>
        <v>899184.55699999991</v>
      </c>
      <c r="G15" s="2"/>
      <c r="H15" s="27">
        <f>H2+H3+H4+H7+H8</f>
        <v>918923.87396</v>
      </c>
      <c r="I15" s="2"/>
      <c r="J15" s="27">
        <f>J2+J3+J4+J7+J8</f>
        <v>1024056.6120288002</v>
      </c>
    </row>
    <row r="16" spans="1:13" x14ac:dyDescent="0.25">
      <c r="A16" t="s">
        <v>66</v>
      </c>
      <c r="B16">
        <v>16509</v>
      </c>
      <c r="C16">
        <f t="shared" ref="C16:C23" si="2">B16*12</f>
        <v>198108</v>
      </c>
      <c r="F16" s="2"/>
      <c r="G16" s="2"/>
      <c r="H16" s="2"/>
      <c r="I16" s="2"/>
      <c r="J16" s="2">
        <f>F15+H15+J15</f>
        <v>2842165.0429888004</v>
      </c>
    </row>
    <row r="17" spans="1:10" x14ac:dyDescent="0.25">
      <c r="A17" t="s">
        <v>67</v>
      </c>
      <c r="B17">
        <v>12294</v>
      </c>
      <c r="C17">
        <f t="shared" si="2"/>
        <v>147528</v>
      </c>
      <c r="F17" s="2"/>
      <c r="G17" s="2"/>
      <c r="H17" s="2"/>
      <c r="I17" s="2"/>
      <c r="J17" s="2"/>
    </row>
    <row r="18" spans="1:10" x14ac:dyDescent="0.25">
      <c r="A18" t="s">
        <v>68</v>
      </c>
      <c r="B18">
        <v>13512</v>
      </c>
      <c r="C18">
        <f t="shared" si="2"/>
        <v>162144</v>
      </c>
      <c r="D18" t="s">
        <v>81</v>
      </c>
      <c r="F18" s="29">
        <f>F6+F9</f>
        <v>411953.96900000004</v>
      </c>
      <c r="G18" s="2"/>
      <c r="H18" s="29">
        <f>H6+H9</f>
        <v>479175.00931999995</v>
      </c>
      <c r="I18" s="2"/>
      <c r="J18" s="29">
        <f>J6+J9</f>
        <v>487085.88704960002</v>
      </c>
    </row>
    <row r="19" spans="1:10" x14ac:dyDescent="0.25">
      <c r="A19" t="s">
        <v>69</v>
      </c>
      <c r="B19">
        <v>10333</v>
      </c>
      <c r="C19">
        <f t="shared" si="2"/>
        <v>123996</v>
      </c>
      <c r="F19" s="2"/>
      <c r="G19" s="2"/>
      <c r="H19" s="2"/>
      <c r="I19" s="2"/>
      <c r="J19" s="2">
        <f>F18+H18+J18</f>
        <v>1378214.8653696</v>
      </c>
    </row>
    <row r="20" spans="1:10" x14ac:dyDescent="0.25">
      <c r="A20" t="s">
        <v>70</v>
      </c>
      <c r="B20">
        <v>8545</v>
      </c>
      <c r="C20">
        <f t="shared" si="2"/>
        <v>102540</v>
      </c>
      <c r="D20" t="s">
        <v>82</v>
      </c>
      <c r="F20" s="28">
        <f>F5+F10+F11+F12</f>
        <v>172098.033</v>
      </c>
      <c r="G20" s="2"/>
      <c r="H20" s="28">
        <f>H5+H10+H11+H12</f>
        <v>175619.59899</v>
      </c>
      <c r="I20" s="2"/>
      <c r="J20" s="28">
        <f>J5+J10+J11+J12</f>
        <v>131694.6131097</v>
      </c>
    </row>
    <row r="21" spans="1:10" x14ac:dyDescent="0.25">
      <c r="A21" t="s">
        <v>71</v>
      </c>
      <c r="B21">
        <v>9384</v>
      </c>
      <c r="C21">
        <f t="shared" si="2"/>
        <v>112608</v>
      </c>
      <c r="F21" s="2"/>
      <c r="G21" s="2"/>
      <c r="H21" s="2"/>
      <c r="I21" s="2"/>
      <c r="J21" s="2">
        <f>F20+H20+J20</f>
        <v>479412.24509970006</v>
      </c>
    </row>
    <row r="22" spans="1:10" x14ac:dyDescent="0.25">
      <c r="A22" t="s">
        <v>98</v>
      </c>
      <c r="B22">
        <v>28650</v>
      </c>
      <c r="C22">
        <f t="shared" si="2"/>
        <v>343800</v>
      </c>
      <c r="F22" s="2"/>
      <c r="G22" s="2"/>
      <c r="H22" s="2"/>
      <c r="I22" s="2"/>
      <c r="J22" s="2"/>
    </row>
    <row r="23" spans="1:10" x14ac:dyDescent="0.25">
      <c r="A23" t="s">
        <v>99</v>
      </c>
      <c r="B23">
        <v>9444</v>
      </c>
      <c r="C23">
        <f t="shared" si="2"/>
        <v>113328</v>
      </c>
      <c r="F23" s="2"/>
      <c r="G23" s="2"/>
      <c r="H23" s="2"/>
      <c r="I23" s="2"/>
      <c r="J23" s="2"/>
    </row>
    <row r="24" spans="1:10" x14ac:dyDescent="0.25">
      <c r="F24" s="2">
        <f>F15+F18+F20</f>
        <v>1483236.5590000001</v>
      </c>
      <c r="G24" s="2">
        <f t="shared" ref="G24:J24" si="3">G15+G18+G20</f>
        <v>0</v>
      </c>
      <c r="H24" s="2">
        <f t="shared" si="3"/>
        <v>1573718.48227</v>
      </c>
      <c r="I24" s="2">
        <f t="shared" si="3"/>
        <v>0</v>
      </c>
      <c r="J24" s="2">
        <f t="shared" si="3"/>
        <v>1642837.1121881001</v>
      </c>
    </row>
    <row r="25" spans="1:10" x14ac:dyDescent="0.25">
      <c r="A25" t="s">
        <v>83</v>
      </c>
      <c r="B25">
        <v>5000</v>
      </c>
      <c r="F25" s="2"/>
      <c r="G25" s="2"/>
      <c r="H25" s="2"/>
      <c r="I25" s="2" t="s">
        <v>87</v>
      </c>
      <c r="J25" s="26">
        <f>J16+J19+J21</f>
        <v>4699792.1534581007</v>
      </c>
    </row>
    <row r="26" spans="1:10" x14ac:dyDescent="0.25">
      <c r="A26" t="s">
        <v>28</v>
      </c>
      <c r="B26">
        <v>1.03</v>
      </c>
    </row>
    <row r="27" spans="1:10" x14ac:dyDescent="0.25">
      <c r="A27" t="s">
        <v>72</v>
      </c>
      <c r="B27">
        <v>54000</v>
      </c>
    </row>
    <row r="28" spans="1:10" x14ac:dyDescent="0.25">
      <c r="A28" t="s">
        <v>73</v>
      </c>
      <c r="B28">
        <v>24000</v>
      </c>
    </row>
    <row r="29" spans="1:10" x14ac:dyDescent="0.25">
      <c r="A29" t="s">
        <v>74</v>
      </c>
      <c r="B29">
        <v>9140</v>
      </c>
    </row>
    <row r="30" spans="1:10" x14ac:dyDescent="0.25">
      <c r="A30" t="s">
        <v>29</v>
      </c>
      <c r="B30">
        <v>10000</v>
      </c>
    </row>
    <row r="31" spans="1:10" x14ac:dyDescent="0.25">
      <c r="A31" t="s">
        <v>31</v>
      </c>
      <c r="B31">
        <v>2500</v>
      </c>
    </row>
    <row r="32" spans="1:10" x14ac:dyDescent="0.25">
      <c r="A32" t="s">
        <v>91</v>
      </c>
      <c r="B32">
        <v>19200</v>
      </c>
    </row>
    <row r="33" spans="1:12" x14ac:dyDescent="0.25">
      <c r="A33" t="s">
        <v>92</v>
      </c>
      <c r="B33">
        <v>5400</v>
      </c>
    </row>
    <row r="34" spans="1:12" x14ac:dyDescent="0.25">
      <c r="A34" t="s">
        <v>93</v>
      </c>
      <c r="B34">
        <v>12000</v>
      </c>
    </row>
    <row r="35" spans="1:12" x14ac:dyDescent="0.25">
      <c r="A35" t="s">
        <v>94</v>
      </c>
      <c r="B35">
        <v>3600</v>
      </c>
    </row>
    <row r="37" spans="1:12" x14ac:dyDescent="0.25">
      <c r="B37" s="1" t="s">
        <v>13</v>
      </c>
      <c r="C37" s="1" t="s">
        <v>14</v>
      </c>
      <c r="D37" s="1"/>
      <c r="E37" s="1" t="s">
        <v>36</v>
      </c>
      <c r="F37" s="1" t="s">
        <v>2</v>
      </c>
      <c r="G37" s="1" t="s">
        <v>37</v>
      </c>
      <c r="H37" s="1" t="s">
        <v>3</v>
      </c>
      <c r="I37" s="1" t="s">
        <v>38</v>
      </c>
      <c r="J37" s="1" t="s">
        <v>4</v>
      </c>
      <c r="K37" s="1"/>
      <c r="L37" s="1" t="s">
        <v>5</v>
      </c>
    </row>
    <row r="38" spans="1:12" x14ac:dyDescent="0.25">
      <c r="C38" s="1" t="s">
        <v>17</v>
      </c>
      <c r="D38" s="1"/>
      <c r="E38" s="1">
        <v>2</v>
      </c>
      <c r="F38" s="2">
        <f>B15*E38</f>
        <v>28308</v>
      </c>
      <c r="G38" s="5">
        <v>2</v>
      </c>
      <c r="H38" s="2">
        <f>B15*G38*B26</f>
        <v>29157.24</v>
      </c>
      <c r="I38" s="6">
        <v>2</v>
      </c>
      <c r="J38" s="2">
        <f>B15*I38*B26*B26</f>
        <v>30031.957200000001</v>
      </c>
      <c r="K38" s="2"/>
      <c r="L38" s="2">
        <f>F38+H38+J38</f>
        <v>87497.19720000001</v>
      </c>
    </row>
    <row r="39" spans="1:12" x14ac:dyDescent="0.25">
      <c r="C39" s="1" t="s">
        <v>18</v>
      </c>
      <c r="D39" s="1" t="s">
        <v>85</v>
      </c>
      <c r="E39" s="1">
        <v>0</v>
      </c>
      <c r="F39" s="2">
        <f>B27*E39</f>
        <v>0</v>
      </c>
      <c r="G39" s="5">
        <v>0</v>
      </c>
      <c r="H39" s="2">
        <f>B27*G39*B26</f>
        <v>0</v>
      </c>
      <c r="I39" s="6">
        <v>0</v>
      </c>
      <c r="J39" s="2">
        <f>B27*I39*B26*B26</f>
        <v>0</v>
      </c>
      <c r="K39" s="2"/>
      <c r="L39" s="2"/>
    </row>
    <row r="40" spans="1:12" x14ac:dyDescent="0.25">
      <c r="C40" s="1" t="s">
        <v>18</v>
      </c>
      <c r="D40" s="1" t="s">
        <v>86</v>
      </c>
      <c r="E40" s="1">
        <v>0</v>
      </c>
      <c r="F40" s="2">
        <f>B27*E40</f>
        <v>0</v>
      </c>
      <c r="G40" s="5">
        <v>0</v>
      </c>
      <c r="H40" s="2">
        <f>B27*G40*B26</f>
        <v>0</v>
      </c>
      <c r="I40" s="6">
        <v>0</v>
      </c>
      <c r="J40" s="2">
        <f>B27*I40*B26*B26</f>
        <v>0</v>
      </c>
      <c r="K40" s="2"/>
      <c r="L40" s="2"/>
    </row>
    <row r="41" spans="1:12" x14ac:dyDescent="0.25">
      <c r="C41" s="1" t="s">
        <v>19</v>
      </c>
      <c r="D41" s="1" t="s">
        <v>85</v>
      </c>
      <c r="E41" s="1">
        <v>0.5</v>
      </c>
      <c r="F41" s="2">
        <f>B28*E41</f>
        <v>12000</v>
      </c>
      <c r="G41" s="5">
        <v>0.5</v>
      </c>
      <c r="H41" s="2">
        <f>B28*G41*B26</f>
        <v>12360</v>
      </c>
      <c r="I41" s="6">
        <v>1</v>
      </c>
      <c r="J41" s="2">
        <f>B28*I41*B26*B26</f>
        <v>25461.600000000002</v>
      </c>
      <c r="K41" s="2"/>
      <c r="L41" s="2"/>
    </row>
    <row r="42" spans="1:12" x14ac:dyDescent="0.25">
      <c r="C42" s="1" t="s">
        <v>19</v>
      </c>
      <c r="D42" s="1" t="s">
        <v>86</v>
      </c>
      <c r="E42" s="1">
        <v>0</v>
      </c>
      <c r="F42" s="2">
        <f>B28*E42</f>
        <v>0</v>
      </c>
      <c r="G42" s="5">
        <v>0</v>
      </c>
      <c r="H42" s="2">
        <f>B28*G42*B26</f>
        <v>0</v>
      </c>
      <c r="I42" s="6">
        <v>0</v>
      </c>
      <c r="J42" s="2">
        <f>B28*I42*B26*B26</f>
        <v>0</v>
      </c>
      <c r="K42" s="2"/>
      <c r="L42" s="2"/>
    </row>
    <row r="43" spans="1:12" x14ac:dyDescent="0.25">
      <c r="C43" s="1" t="s">
        <v>84</v>
      </c>
      <c r="D43" s="1" t="s">
        <v>85</v>
      </c>
      <c r="E43" s="1">
        <v>2</v>
      </c>
      <c r="F43" s="2">
        <f>B25*E43</f>
        <v>10000</v>
      </c>
      <c r="G43" s="5">
        <v>2</v>
      </c>
      <c r="H43" s="2">
        <f>B25*G43</f>
        <v>10000</v>
      </c>
      <c r="I43" s="6">
        <v>2</v>
      </c>
      <c r="J43" s="2">
        <f>B25*I43</f>
        <v>10000</v>
      </c>
      <c r="K43" s="2"/>
      <c r="L43" s="2"/>
    </row>
    <row r="44" spans="1:12" x14ac:dyDescent="0.25">
      <c r="C44" s="1" t="s">
        <v>84</v>
      </c>
      <c r="D44" s="1" t="s">
        <v>86</v>
      </c>
      <c r="E44" s="1">
        <v>0</v>
      </c>
      <c r="F44" s="2">
        <f>B25*E44</f>
        <v>0</v>
      </c>
      <c r="G44" s="5">
        <v>0</v>
      </c>
      <c r="H44" s="2">
        <f>B25*G44</f>
        <v>0</v>
      </c>
      <c r="I44" s="6">
        <v>0</v>
      </c>
      <c r="J44" s="2">
        <f>B25*I44</f>
        <v>0</v>
      </c>
      <c r="K44" s="2"/>
      <c r="L44" s="2"/>
    </row>
    <row r="45" spans="1:12" x14ac:dyDescent="0.25">
      <c r="C45" s="1" t="s">
        <v>108</v>
      </c>
      <c r="D45" s="1"/>
      <c r="E45" s="1"/>
      <c r="F45" s="2">
        <f>F38/2*0.3 + F39*0.3 + F40*0.3 + F41*0.1 + F42*0.1</f>
        <v>5446.2</v>
      </c>
      <c r="G45" s="2">
        <f t="shared" ref="G45:J45" si="4">G38/2*0.3 + G39*0.3 + G40*0.3 + G41*0.1 + G42*0.1</f>
        <v>0.35</v>
      </c>
      <c r="H45" s="2">
        <f t="shared" si="4"/>
        <v>5609.5860000000002</v>
      </c>
      <c r="I45" s="2">
        <f t="shared" si="4"/>
        <v>0.4</v>
      </c>
      <c r="J45" s="2">
        <f t="shared" si="4"/>
        <v>7050.9535799999994</v>
      </c>
      <c r="K45" s="2"/>
      <c r="L45" s="2"/>
    </row>
    <row r="46" spans="1:12" x14ac:dyDescent="0.25">
      <c r="C46" s="1" t="s">
        <v>109</v>
      </c>
      <c r="D46" s="1"/>
      <c r="E46" s="1"/>
      <c r="F46" s="2">
        <f>F38/2*0.3 + F43*0.085 + F44*0.085</f>
        <v>5096.2</v>
      </c>
      <c r="G46" s="2">
        <f t="shared" ref="G46:J46" si="5">G38/2*0.3 + G43*0.085 + G44*0.085</f>
        <v>0.47</v>
      </c>
      <c r="H46" s="2">
        <f t="shared" si="5"/>
        <v>5223.5860000000002</v>
      </c>
      <c r="I46" s="2">
        <f t="shared" si="5"/>
        <v>0.47</v>
      </c>
      <c r="J46" s="2">
        <f t="shared" si="5"/>
        <v>5354.7935799999996</v>
      </c>
      <c r="K46" s="2"/>
      <c r="L46" s="2">
        <f>F46+H46+J46</f>
        <v>15674.57958</v>
      </c>
    </row>
    <row r="47" spans="1:12" x14ac:dyDescent="0.25">
      <c r="C47" s="1" t="s">
        <v>59</v>
      </c>
      <c r="D47" s="1"/>
      <c r="E47" s="1"/>
      <c r="F47" s="2">
        <f>F38*0.3 + F39*0.3 + F40*0.3 + F41*0.1 + F42*0.1 +F43*0.085 + F44*0.085</f>
        <v>10542.4</v>
      </c>
      <c r="G47" s="2"/>
      <c r="H47" s="2">
        <f>H38*0.3 + H39*0.3 + H40*0.3 + H41*0.1 + H42*0.1 +H43*0.085 + H44*0.085</f>
        <v>10833.172</v>
      </c>
      <c r="I47" s="7"/>
      <c r="J47" s="2">
        <f>J38*0.3 + J39*0.3 + J40*0.3 + J41*0.1 + J42*0.1 +J43*0.085 + J44*0.085</f>
        <v>12405.747159999999</v>
      </c>
      <c r="K47" s="2"/>
      <c r="L47" s="2"/>
    </row>
    <row r="48" spans="1:12" x14ac:dyDescent="0.25">
      <c r="C48" s="1" t="s">
        <v>111</v>
      </c>
      <c r="D48" s="1"/>
      <c r="E48" s="1"/>
      <c r="F48" s="2">
        <v>9500</v>
      </c>
      <c r="G48" s="2"/>
      <c r="H48" s="2">
        <v>9500</v>
      </c>
      <c r="I48" s="7"/>
      <c r="J48" s="2">
        <v>9500</v>
      </c>
      <c r="K48" s="2"/>
      <c r="L48" s="2"/>
    </row>
    <row r="49" spans="3:12" x14ac:dyDescent="0.25">
      <c r="C49" s="1" t="s">
        <v>112</v>
      </c>
      <c r="D49" s="1"/>
      <c r="E49" s="1"/>
      <c r="F49" s="2">
        <v>14000</v>
      </c>
      <c r="G49" s="2"/>
      <c r="H49" s="2">
        <v>14000</v>
      </c>
      <c r="I49" s="7"/>
      <c r="J49" s="2">
        <v>14000</v>
      </c>
      <c r="K49" s="2"/>
      <c r="L49" s="2"/>
    </row>
    <row r="50" spans="3:12" x14ac:dyDescent="0.25">
      <c r="C50" s="1" t="s">
        <v>110</v>
      </c>
      <c r="D50" s="1"/>
      <c r="E50" s="1"/>
      <c r="F50" s="2">
        <f>F48+F49</f>
        <v>23500</v>
      </c>
      <c r="G50" s="2">
        <f t="shared" ref="G50:J50" si="6">G48+G49</f>
        <v>0</v>
      </c>
      <c r="H50" s="2">
        <f t="shared" si="6"/>
        <v>23500</v>
      </c>
      <c r="I50" s="2">
        <f t="shared" si="6"/>
        <v>0</v>
      </c>
      <c r="J50" s="2">
        <f t="shared" si="6"/>
        <v>23500</v>
      </c>
      <c r="K50" s="2"/>
      <c r="L50" s="2"/>
    </row>
    <row r="51" spans="3:12" x14ac:dyDescent="0.25">
      <c r="C51" s="1" t="s">
        <v>35</v>
      </c>
      <c r="D51" s="1"/>
      <c r="E51" s="1"/>
      <c r="F51" s="2">
        <f>(E40*B32) + (E42*B34)</f>
        <v>0</v>
      </c>
      <c r="G51" s="5">
        <f>(G40+G42)*D32</f>
        <v>0</v>
      </c>
      <c r="H51" s="2">
        <f>(G40*B32) + (G42*B34)</f>
        <v>0</v>
      </c>
      <c r="I51" s="6">
        <v>0</v>
      </c>
      <c r="J51" s="2">
        <f>(I40*B32) + (I42*B34)</f>
        <v>0</v>
      </c>
      <c r="K51" s="2"/>
      <c r="L51" s="2"/>
    </row>
    <row r="52" spans="3:12" x14ac:dyDescent="0.25">
      <c r="C52" s="1" t="s">
        <v>21</v>
      </c>
      <c r="D52" s="1"/>
      <c r="E52" s="1"/>
      <c r="F52" s="2">
        <f>(E41+E42)*B29</f>
        <v>4570</v>
      </c>
      <c r="G52" s="5"/>
      <c r="H52" s="2">
        <f>(G41+G42)*B29</f>
        <v>4570</v>
      </c>
      <c r="I52" s="6"/>
      <c r="J52" s="2">
        <f>(I41+I42)*B29</f>
        <v>9140</v>
      </c>
      <c r="K52" s="2"/>
      <c r="L52" s="2"/>
    </row>
    <row r="53" spans="3:12" x14ac:dyDescent="0.25">
      <c r="C53" s="1" t="s">
        <v>22</v>
      </c>
      <c r="D53" s="1"/>
      <c r="E53" s="1">
        <v>1</v>
      </c>
      <c r="F53" s="2">
        <f>B31*E53</f>
        <v>2500</v>
      </c>
      <c r="G53" s="5">
        <v>1</v>
      </c>
      <c r="H53" s="2">
        <f>B31*G53</f>
        <v>2500</v>
      </c>
      <c r="I53" s="6">
        <v>1</v>
      </c>
      <c r="J53" s="2">
        <f>B31*I53</f>
        <v>2500</v>
      </c>
      <c r="K53" s="2"/>
      <c r="L53" s="2"/>
    </row>
    <row r="54" spans="3:12" x14ac:dyDescent="0.25">
      <c r="C54" s="1" t="s">
        <v>106</v>
      </c>
      <c r="D54" s="1"/>
      <c r="E54" s="1"/>
      <c r="F54" s="2">
        <f>F38/2 + SUM(F39:F42) +F45 + F48 + F51 +F52 + F53</f>
        <v>48170.2</v>
      </c>
      <c r="G54" s="2"/>
      <c r="H54" s="2">
        <f t="shared" ref="H54:J54" si="7">H38/2 + SUM(H39:H42) +H45 + H48 + H51 +H52 + H53</f>
        <v>49118.206000000006</v>
      </c>
      <c r="I54" s="2"/>
      <c r="J54" s="2">
        <f t="shared" si="7"/>
        <v>68668.532180000009</v>
      </c>
      <c r="K54" s="2"/>
      <c r="L54" s="2"/>
    </row>
    <row r="55" spans="3:12" x14ac:dyDescent="0.25">
      <c r="C55" s="1" t="s">
        <v>107</v>
      </c>
      <c r="D55" s="1"/>
      <c r="E55" s="1"/>
      <c r="F55" s="2">
        <f>F38/2 + F43 + F44 +F46 + F49</f>
        <v>43250.2</v>
      </c>
      <c r="G55" s="2">
        <f t="shared" ref="G55:J55" si="8">G38/2 + G43 + G44 +G46 + G49</f>
        <v>3.4699999999999998</v>
      </c>
      <c r="H55" s="2">
        <f t="shared" si="8"/>
        <v>43802.206000000006</v>
      </c>
      <c r="I55" s="2">
        <f t="shared" si="8"/>
        <v>3.4699999999999998</v>
      </c>
      <c r="J55" s="2">
        <f t="shared" si="8"/>
        <v>44370.77218</v>
      </c>
      <c r="K55" s="2"/>
      <c r="L55" s="2"/>
    </row>
    <row r="56" spans="3:12" x14ac:dyDescent="0.25">
      <c r="C56" s="1" t="s">
        <v>23</v>
      </c>
      <c r="D56" s="1"/>
      <c r="E56" s="1"/>
      <c r="F56" s="2">
        <f>F54 + F55</f>
        <v>91420.4</v>
      </c>
      <c r="G56" s="2">
        <f t="shared" ref="G56:J56" si="9">G54 + G55</f>
        <v>3.4699999999999998</v>
      </c>
      <c r="H56" s="2">
        <f t="shared" si="9"/>
        <v>92920.412000000011</v>
      </c>
      <c r="I56" s="2">
        <f t="shared" si="9"/>
        <v>3.4699999999999998</v>
      </c>
      <c r="J56" s="2">
        <f t="shared" si="9"/>
        <v>113039.30436000001</v>
      </c>
      <c r="K56" s="2"/>
      <c r="L56" s="2"/>
    </row>
    <row r="57" spans="3:12" x14ac:dyDescent="0.25">
      <c r="C57" s="1" t="s">
        <v>88</v>
      </c>
      <c r="D57" s="1"/>
      <c r="E57" s="1"/>
      <c r="F57" s="2">
        <f>(F38*1.3*0.515) + (F39*1.3*0.515) + (F41*1.1*0.515) + (F43*1.085*0.515)  + (F53*0.515)</f>
        <v>32625.456000000002</v>
      </c>
      <c r="G57" s="2"/>
      <c r="H57" s="2">
        <f>(H38*1.3*0.515) + (H39*1.3*0.515) + (H41*1.1*0.515) + (H43*1.085*0.515)   + (H53*0.515)</f>
        <v>33397.962180000002</v>
      </c>
      <c r="I57" s="2"/>
      <c r="J57" s="2">
        <f>(J38*1.3*0.515) + (J39*1.3*0.515) + (J41*1.1*0.515) + (J43*1.085*0.515)  + (J53*0.515)</f>
        <v>41405.641745400004</v>
      </c>
      <c r="K57" s="2"/>
      <c r="L57" s="2"/>
    </row>
    <row r="58" spans="3:12" x14ac:dyDescent="0.25">
      <c r="C58" s="1" t="s">
        <v>89</v>
      </c>
      <c r="D58" s="1"/>
      <c r="E58" s="1"/>
      <c r="F58" s="2">
        <f xml:space="preserve"> (F40*1.3*0.26)  + (F42*1.1*0.26) + (F44*1.085*0.26)  + (F50*0.26) + (F51*0.26)</f>
        <v>6110</v>
      </c>
      <c r="G58" s="2"/>
      <c r="H58" s="2">
        <f xml:space="preserve"> (H40*1.3*0.26)  + (H42*1.1*0.26) + (H44*1.085*0.26)  + (H50*0.26) + (H51*0.26)</f>
        <v>6110</v>
      </c>
      <c r="I58" s="2"/>
      <c r="J58" s="2">
        <f xml:space="preserve"> (J40*1.3*0.26)  + (J42*1.1*0.26) + (J44*1.085*0.26)  + (J50*0.26) + (J51*0.26)</f>
        <v>6110</v>
      </c>
      <c r="K58" s="2"/>
      <c r="L58" s="2"/>
    </row>
    <row r="59" spans="3:12" x14ac:dyDescent="0.25">
      <c r="C59" s="1" t="s">
        <v>113</v>
      </c>
      <c r="D59" s="1"/>
      <c r="E59" s="1"/>
      <c r="F59" s="2">
        <f>(F38/2*1.3*0.515) + (F39*1.3*0.515) + (F40*1.3*0.26) + (F41*1.1*0.515)  + (F42*1.1*0.26) +(F48*0.26) + (F51*0.26) + (F53*0.515)</f>
        <v>20031.603000000003</v>
      </c>
      <c r="G59" s="2"/>
      <c r="H59" s="2">
        <f>(H38/2*1.3*0.515) + (H39*1.3*0.515) + (H40*1.3*0.26) + (H41*1.1*0.515)  + (H42*1.1*0.26) +(H48*0.26) + (H51*0.26) + (H53*0.515)</f>
        <v>20519.826090000002</v>
      </c>
      <c r="I59" s="2"/>
      <c r="J59" s="2">
        <f>(J38/2*1.3*0.515) + (J39*1.3*0.515) + (J40*1.3*0.26) + (J41*1.1*0.515)  + (J42*1.1*0.26) +(J48*0.26) + (J51*0.26) + (J53*0.515)</f>
        <v>28234.694072700004</v>
      </c>
      <c r="K59" s="2"/>
      <c r="L59" s="2"/>
    </row>
    <row r="60" spans="3:12" x14ac:dyDescent="0.25">
      <c r="C60" s="1" t="s">
        <v>114</v>
      </c>
      <c r="D60" s="1"/>
      <c r="E60" s="1"/>
      <c r="F60" s="2">
        <f>(F38/2*1.3*0.515) +  (F43*1.085*0.515)  + (F44*1.085*0.26)  + (F49*0.26)</f>
        <v>18703.853000000003</v>
      </c>
      <c r="G60" s="2"/>
      <c r="H60" s="2">
        <f>(H38/2*1.3*0.515) +  (H43*1.085*0.515)  + (H44*1.085*0.26) + (H49*0.26)</f>
        <v>18988.13609</v>
      </c>
      <c r="I60" s="2"/>
      <c r="J60" s="2">
        <f>(J38/2*1.3*0.515) +  (J43*1.085*0.515)  + (J44*1.085*0.26)  + (J49*0.26)</f>
        <v>19280.9476727</v>
      </c>
      <c r="K60" s="2"/>
      <c r="L60" s="2">
        <f>F60+H60+J60</f>
        <v>56972.936762700003</v>
      </c>
    </row>
    <row r="61" spans="3:12" x14ac:dyDescent="0.25">
      <c r="C61" s="1" t="s">
        <v>105</v>
      </c>
      <c r="D61" s="1"/>
      <c r="E61" s="1"/>
      <c r="F61" s="2">
        <f>F57+F58</f>
        <v>38735.456000000006</v>
      </c>
      <c r="G61" s="2"/>
      <c r="H61" s="2">
        <f t="shared" ref="H61:J61" si="10">H57+H58</f>
        <v>39507.962180000002</v>
      </c>
      <c r="I61" s="2"/>
      <c r="J61" s="2">
        <f t="shared" si="10"/>
        <v>47515.641745400004</v>
      </c>
      <c r="K61" s="2"/>
      <c r="L61" s="2">
        <f t="shared" ref="L61:L64" si="11">F61+H61+J61</f>
        <v>125759.05992540001</v>
      </c>
    </row>
    <row r="62" spans="3:12" x14ac:dyDescent="0.25">
      <c r="C62" s="1" t="s">
        <v>115</v>
      </c>
      <c r="D62" s="1"/>
      <c r="E62" s="1"/>
      <c r="F62" s="2">
        <f>F54+F59</f>
        <v>68201.803</v>
      </c>
      <c r="G62" s="2">
        <f t="shared" ref="G62:J62" si="12">G54+G59</f>
        <v>0</v>
      </c>
      <c r="H62" s="2">
        <f t="shared" si="12"/>
        <v>69638.032090000008</v>
      </c>
      <c r="I62" s="2">
        <f t="shared" si="12"/>
        <v>0</v>
      </c>
      <c r="J62" s="2">
        <f t="shared" si="12"/>
        <v>96903.226252700013</v>
      </c>
      <c r="K62" s="2"/>
      <c r="L62" s="2">
        <f t="shared" si="11"/>
        <v>234743.06134270004</v>
      </c>
    </row>
    <row r="63" spans="3:12" x14ac:dyDescent="0.25">
      <c r="C63" s="1" t="s">
        <v>116</v>
      </c>
      <c r="D63" s="1"/>
      <c r="E63" s="1"/>
      <c r="F63" s="2">
        <f>F55+F60</f>
        <v>61954.053</v>
      </c>
      <c r="G63" s="2">
        <f t="shared" ref="G63:J63" si="13">G55+G60</f>
        <v>3.4699999999999998</v>
      </c>
      <c r="H63" s="2">
        <f t="shared" si="13"/>
        <v>62790.342090000006</v>
      </c>
      <c r="I63" s="2">
        <f t="shared" si="13"/>
        <v>3.4699999999999998</v>
      </c>
      <c r="J63" s="2">
        <f t="shared" si="13"/>
        <v>63651.7198527</v>
      </c>
      <c r="K63" s="2"/>
      <c r="L63" s="2">
        <f t="shared" si="11"/>
        <v>188396.11494270002</v>
      </c>
    </row>
    <row r="64" spans="3:12" x14ac:dyDescent="0.25">
      <c r="C64" s="1" t="s">
        <v>24</v>
      </c>
      <c r="D64" s="1"/>
      <c r="E64" s="1"/>
      <c r="F64" s="2">
        <f>SUM(F56:F58)</f>
        <v>130155.856</v>
      </c>
      <c r="G64" s="2"/>
      <c r="H64" s="2">
        <f>SUM(H56:H58)</f>
        <v>132428.37418000001</v>
      </c>
      <c r="I64" s="2"/>
      <c r="J64" s="2">
        <f>SUM(J56:J58)</f>
        <v>160554.94610540001</v>
      </c>
      <c r="K64" s="2"/>
      <c r="L64" s="2">
        <f t="shared" si="11"/>
        <v>423139.17628540006</v>
      </c>
    </row>
    <row r="66" spans="2:12" x14ac:dyDescent="0.25">
      <c r="C66" s="1"/>
      <c r="D66" s="1"/>
      <c r="E66" s="1"/>
      <c r="F66" s="2"/>
      <c r="G66" s="2"/>
      <c r="H66" s="2"/>
      <c r="I66" s="2"/>
      <c r="J66" s="2"/>
      <c r="K66" s="2"/>
      <c r="L66" s="2"/>
    </row>
    <row r="67" spans="2:12" x14ac:dyDescent="0.25">
      <c r="B67" s="1" t="s">
        <v>32</v>
      </c>
      <c r="C67" s="1" t="s">
        <v>14</v>
      </c>
      <c r="D67" s="1"/>
      <c r="E67" s="1" t="s">
        <v>36</v>
      </c>
      <c r="F67" s="1" t="s">
        <v>2</v>
      </c>
      <c r="G67" s="1" t="s">
        <v>37</v>
      </c>
      <c r="H67" s="1" t="s">
        <v>3</v>
      </c>
      <c r="I67" s="1" t="s">
        <v>38</v>
      </c>
      <c r="J67" s="1" t="s">
        <v>4</v>
      </c>
      <c r="K67" s="1"/>
      <c r="L67" s="1" t="s">
        <v>5</v>
      </c>
    </row>
    <row r="68" spans="2:12" x14ac:dyDescent="0.25">
      <c r="C68" s="1" t="s">
        <v>17</v>
      </c>
      <c r="E68" s="1">
        <v>2</v>
      </c>
      <c r="F68" s="2">
        <f>B16*E68</f>
        <v>33018</v>
      </c>
      <c r="G68" s="3">
        <v>2</v>
      </c>
      <c r="H68" s="2">
        <f>B16*G68*B26</f>
        <v>34008.54</v>
      </c>
      <c r="I68" s="6">
        <v>2</v>
      </c>
      <c r="J68" s="2">
        <f>B16*I68*B26*B26</f>
        <v>35028.796200000004</v>
      </c>
      <c r="K68" s="2"/>
      <c r="L68" s="2"/>
    </row>
    <row r="69" spans="2:12" x14ac:dyDescent="0.25">
      <c r="C69" s="1" t="s">
        <v>18</v>
      </c>
      <c r="D69" s="1" t="s">
        <v>85</v>
      </c>
      <c r="E69" s="1">
        <v>0.5</v>
      </c>
      <c r="F69" s="2">
        <f>B27*E69</f>
        <v>27000</v>
      </c>
      <c r="G69" s="6">
        <v>0.5</v>
      </c>
      <c r="H69" s="2">
        <f>B27*G69*B26</f>
        <v>27810</v>
      </c>
      <c r="I69" s="6">
        <v>0.5</v>
      </c>
      <c r="J69" s="2">
        <f>B27*I69*B26*B26</f>
        <v>28644.3</v>
      </c>
      <c r="K69" s="2"/>
      <c r="L69" s="2"/>
    </row>
    <row r="70" spans="2:12" x14ac:dyDescent="0.25">
      <c r="C70" s="1" t="s">
        <v>18</v>
      </c>
      <c r="D70" s="1" t="s">
        <v>86</v>
      </c>
      <c r="E70" s="1">
        <v>0.55000000000000004</v>
      </c>
      <c r="F70" s="2">
        <f>B27*E70</f>
        <v>29700.000000000004</v>
      </c>
      <c r="G70" s="6">
        <v>0.55000000000000004</v>
      </c>
      <c r="H70" s="2">
        <f>B27*G70*B26</f>
        <v>30591.000000000004</v>
      </c>
      <c r="I70" s="6">
        <v>0.55000000000000004</v>
      </c>
      <c r="J70" s="2">
        <f>B27*I70*B26*B26</f>
        <v>31508.730000000003</v>
      </c>
      <c r="K70" s="2"/>
      <c r="L70" s="2"/>
    </row>
    <row r="71" spans="2:12" x14ac:dyDescent="0.25">
      <c r="C71" s="1" t="s">
        <v>19</v>
      </c>
      <c r="D71" s="1" t="s">
        <v>85</v>
      </c>
      <c r="E71" s="1">
        <v>0</v>
      </c>
      <c r="F71" s="2">
        <f>B28*E71</f>
        <v>0</v>
      </c>
      <c r="G71" s="6">
        <v>0</v>
      </c>
      <c r="H71" s="2">
        <f>B28*G71*B26</f>
        <v>0</v>
      </c>
      <c r="I71" s="6">
        <v>0</v>
      </c>
      <c r="J71" s="2">
        <f>B28*I71*B26*B26</f>
        <v>0</v>
      </c>
      <c r="K71" s="2"/>
      <c r="L71" s="2"/>
    </row>
    <row r="72" spans="2:12" x14ac:dyDescent="0.25">
      <c r="C72" s="1" t="s">
        <v>19</v>
      </c>
      <c r="D72" s="1" t="s">
        <v>86</v>
      </c>
      <c r="E72" s="1">
        <v>1</v>
      </c>
      <c r="F72" s="2">
        <f>B28*E72</f>
        <v>24000</v>
      </c>
      <c r="G72" s="6">
        <v>1</v>
      </c>
      <c r="H72" s="2">
        <f>B28*G72*B26</f>
        <v>24720</v>
      </c>
      <c r="I72" s="6">
        <v>1</v>
      </c>
      <c r="J72" s="2">
        <f>B28*I72*B26*B26</f>
        <v>25461.600000000002</v>
      </c>
      <c r="K72" s="2"/>
      <c r="L72" s="2"/>
    </row>
    <row r="73" spans="2:12" x14ac:dyDescent="0.25">
      <c r="C73" s="1" t="s">
        <v>84</v>
      </c>
      <c r="D73" s="1" t="s">
        <v>85</v>
      </c>
      <c r="E73" s="1">
        <v>1</v>
      </c>
      <c r="F73" s="2">
        <f>B25*E73</f>
        <v>5000</v>
      </c>
      <c r="G73" s="6">
        <v>1</v>
      </c>
      <c r="H73" s="2">
        <f>B25*G73</f>
        <v>5000</v>
      </c>
      <c r="I73" s="6">
        <v>1</v>
      </c>
      <c r="J73" s="2">
        <f>B25*I73</f>
        <v>5000</v>
      </c>
      <c r="K73" s="2"/>
      <c r="L73" s="2"/>
    </row>
    <row r="74" spans="2:12" x14ac:dyDescent="0.25">
      <c r="C74" s="1" t="s">
        <v>84</v>
      </c>
      <c r="D74" s="1" t="s">
        <v>86</v>
      </c>
      <c r="E74" s="1"/>
      <c r="F74" s="2">
        <f>B25*E74</f>
        <v>0</v>
      </c>
      <c r="G74" s="6"/>
      <c r="H74" s="2">
        <f>B25*G74</f>
        <v>0</v>
      </c>
      <c r="I74" s="6"/>
      <c r="J74" s="2">
        <f>B25*I74</f>
        <v>0</v>
      </c>
      <c r="K74" s="2"/>
      <c r="L74" s="2"/>
    </row>
    <row r="75" spans="2:12" x14ac:dyDescent="0.25">
      <c r="C75" s="1" t="s">
        <v>44</v>
      </c>
      <c r="E75" s="1"/>
      <c r="F75" s="2">
        <f>F68*0.3 + F69*0.3 + F70*0.3 + F71*0.1 + F72*0.1 +F73*0.085 + F74*0.085</f>
        <v>29740.400000000001</v>
      </c>
      <c r="G75" s="7"/>
      <c r="H75" s="2">
        <f>H68*0.3 + H69*0.3 + H70*0.3 + H71*0.1 + H72*0.1 +H73*0.085 + H74*0.085</f>
        <v>30619.862000000001</v>
      </c>
      <c r="I75" s="7"/>
      <c r="J75" s="2">
        <f>J68*0.3 + J69*0.3 + J70*0.3 + J71*0.1 + J72*0.1 +J73*0.085 + J74*0.085</f>
        <v>31525.707859999999</v>
      </c>
      <c r="K75" s="2"/>
      <c r="L75" s="2"/>
    </row>
    <row r="76" spans="2:12" x14ac:dyDescent="0.25">
      <c r="C76" s="1" t="s">
        <v>20</v>
      </c>
      <c r="E76" s="1">
        <v>1</v>
      </c>
      <c r="F76" s="2">
        <f>B30*E76</f>
        <v>10000</v>
      </c>
      <c r="G76" s="6">
        <v>1</v>
      </c>
      <c r="H76" s="2">
        <f>B30*G76</f>
        <v>10000</v>
      </c>
      <c r="I76" s="6">
        <v>1</v>
      </c>
      <c r="J76" s="2">
        <f>B30*I76</f>
        <v>10000</v>
      </c>
      <c r="K76" s="2"/>
      <c r="L76" s="2"/>
    </row>
    <row r="77" spans="2:12" x14ac:dyDescent="0.25">
      <c r="C77" s="1" t="s">
        <v>35</v>
      </c>
      <c r="E77" s="1"/>
      <c r="F77" s="2">
        <f>(E70*B32) + (E72*B34)</f>
        <v>22560</v>
      </c>
      <c r="G77" s="6"/>
      <c r="H77" s="2">
        <f>(G70*B32) + (G72*B34)</f>
        <v>22560</v>
      </c>
      <c r="I77" s="6"/>
      <c r="J77" s="2">
        <f>(I70*B32) + (I72*B34)</f>
        <v>22560</v>
      </c>
      <c r="K77" s="2"/>
      <c r="L77" s="2"/>
    </row>
    <row r="78" spans="2:12" x14ac:dyDescent="0.25">
      <c r="C78" s="1" t="s">
        <v>21</v>
      </c>
      <c r="E78" s="1"/>
      <c r="F78" s="2">
        <f>(E71+E72)*B29</f>
        <v>9140</v>
      </c>
      <c r="G78" s="6"/>
      <c r="H78" s="2">
        <f>(G71+G72)*B29</f>
        <v>9140</v>
      </c>
      <c r="I78" s="6"/>
      <c r="J78" s="2">
        <f>(I71+I72)*B29</f>
        <v>9140</v>
      </c>
      <c r="K78" s="2"/>
      <c r="L78" s="2"/>
    </row>
    <row r="79" spans="2:12" x14ac:dyDescent="0.25">
      <c r="C79" s="1" t="s">
        <v>22</v>
      </c>
      <c r="E79" s="1">
        <v>1</v>
      </c>
      <c r="F79" s="2">
        <f>B31*E79</f>
        <v>2500</v>
      </c>
      <c r="G79" s="6">
        <v>1</v>
      </c>
      <c r="H79" s="2">
        <f>B31*G79</f>
        <v>2500</v>
      </c>
      <c r="I79" s="6">
        <v>1</v>
      </c>
      <c r="J79" s="2">
        <f>B31*I79</f>
        <v>2500</v>
      </c>
      <c r="K79" s="2"/>
      <c r="L79" s="2"/>
    </row>
    <row r="80" spans="2:12" x14ac:dyDescent="0.25">
      <c r="C80" s="1" t="s">
        <v>23</v>
      </c>
      <c r="D80" s="1"/>
      <c r="E80" s="1"/>
      <c r="F80" s="2">
        <f>SUM(F68:F79)</f>
        <v>192658.4</v>
      </c>
      <c r="G80" s="6"/>
      <c r="H80" s="2">
        <f>SUM(H68:H79)</f>
        <v>196949.402</v>
      </c>
      <c r="I80" s="2"/>
      <c r="J80" s="2">
        <f>SUM(J68:J79)</f>
        <v>201369.13406000001</v>
      </c>
      <c r="K80" s="2"/>
      <c r="L80" s="2"/>
    </row>
    <row r="81" spans="2:12" x14ac:dyDescent="0.25">
      <c r="C81" s="1" t="s">
        <v>88</v>
      </c>
      <c r="D81" s="1"/>
      <c r="E81" s="1"/>
      <c r="F81" s="2">
        <f>(F68*1.3*0.515) + (F69*1.3*0.515) + (F71*1.1*0.515) + (F73*1.085*0.515)   + (F79*0.515)</f>
        <v>44263.426000000007</v>
      </c>
      <c r="G81" s="7"/>
      <c r="H81" s="2">
        <f>(H68*1.3*0.515) + (H69*1.3*0.515) + (H71*1.1*0.515) + (H73*1.085*0.515) + (H79*0.515)</f>
        <v>45468.887530000007</v>
      </c>
      <c r="I81" s="2"/>
      <c r="J81" s="2">
        <f>(J68*1.3*0.515) + (J69*1.3*0.515) + (J71*1.1*0.515) + (J73*1.085*0.515)  + (J79*0.515)</f>
        <v>46710.51290590001</v>
      </c>
      <c r="K81" s="2"/>
      <c r="L81" s="2"/>
    </row>
    <row r="82" spans="2:12" x14ac:dyDescent="0.25">
      <c r="C82" s="1" t="s">
        <v>89</v>
      </c>
      <c r="D82" s="1"/>
      <c r="E82" s="1"/>
      <c r="F82" s="2">
        <f xml:space="preserve"> (F70*1.3*0.26)  + (F72*1.1*0.26) + (F74*1.085*0.26)  + (F76*0.26) + (F77*0.26)</f>
        <v>25368.200000000004</v>
      </c>
      <c r="G82" s="7"/>
      <c r="H82" s="2">
        <f xml:space="preserve"> (H70*1.3*0.26)  + (H72*1.1*0.26) + (H74*1.085*0.26)  + (H76*0.26) + (H77*0.26)</f>
        <v>25875.278000000006</v>
      </c>
      <c r="I82" s="2"/>
      <c r="J82" s="2">
        <f xml:space="preserve"> (J70*1.3*0.26)  + (J72*1.1*0.26) + (J74*1.085*0.26)  + (J76*0.26) + (J77*0.26)</f>
        <v>26397.568340000005</v>
      </c>
      <c r="K82" s="2"/>
      <c r="L82" s="2"/>
    </row>
    <row r="83" spans="2:12" x14ac:dyDescent="0.25">
      <c r="C83" s="1" t="s">
        <v>24</v>
      </c>
      <c r="D83" s="1"/>
      <c r="E83" s="1"/>
      <c r="F83" s="2">
        <f>SUM(F80:F82)</f>
        <v>262290.02600000001</v>
      </c>
      <c r="G83" s="7"/>
      <c r="H83" s="2">
        <f>SUM(H80:H82)</f>
        <v>268293.56753</v>
      </c>
      <c r="I83" s="2"/>
      <c r="J83" s="2">
        <f>SUM(J80:J82)</f>
        <v>274477.21530590003</v>
      </c>
      <c r="K83" s="2"/>
      <c r="L83" s="2"/>
    </row>
    <row r="86" spans="2:12" x14ac:dyDescent="0.25">
      <c r="B86" s="1" t="s">
        <v>33</v>
      </c>
      <c r="C86" s="1" t="s">
        <v>14</v>
      </c>
      <c r="D86" s="1"/>
      <c r="E86" s="1" t="s">
        <v>36</v>
      </c>
      <c r="F86" s="1" t="s">
        <v>2</v>
      </c>
      <c r="G86" s="1" t="s">
        <v>37</v>
      </c>
      <c r="H86" s="1" t="s">
        <v>3</v>
      </c>
      <c r="I86" s="1" t="s">
        <v>38</v>
      </c>
      <c r="J86" s="1" t="s">
        <v>4</v>
      </c>
      <c r="K86" s="1"/>
      <c r="L86" s="1" t="s">
        <v>5</v>
      </c>
    </row>
    <row r="87" spans="2:12" x14ac:dyDescent="0.25">
      <c r="C87" s="1" t="s">
        <v>17</v>
      </c>
      <c r="E87" s="6">
        <v>1</v>
      </c>
      <c r="F87" s="2">
        <f>B17*E87</f>
        <v>12294</v>
      </c>
      <c r="G87" s="6">
        <v>1</v>
      </c>
      <c r="H87" s="2">
        <f>B17*G87*B26</f>
        <v>12662.82</v>
      </c>
      <c r="I87" s="6">
        <v>1</v>
      </c>
      <c r="J87" s="2">
        <f>B17*I87*B26*B26</f>
        <v>13042.704600000001</v>
      </c>
      <c r="K87" s="2"/>
      <c r="L87" s="2"/>
    </row>
    <row r="88" spans="2:12" x14ac:dyDescent="0.25">
      <c r="C88" s="1" t="s">
        <v>18</v>
      </c>
      <c r="D88" s="1" t="s">
        <v>85</v>
      </c>
      <c r="E88" s="6">
        <v>0</v>
      </c>
      <c r="F88" s="2">
        <f>B27*E88</f>
        <v>0</v>
      </c>
      <c r="G88" s="6">
        <v>0</v>
      </c>
      <c r="H88" s="2">
        <f>B27*G88*B26</f>
        <v>0</v>
      </c>
      <c r="I88" s="6">
        <v>0</v>
      </c>
      <c r="J88" s="2">
        <f>B27*I88*B26*B26</f>
        <v>0</v>
      </c>
      <c r="K88" s="2"/>
      <c r="L88" s="2"/>
    </row>
    <row r="89" spans="2:12" x14ac:dyDescent="0.25">
      <c r="C89" s="1" t="s">
        <v>18</v>
      </c>
      <c r="D89" s="1" t="s">
        <v>86</v>
      </c>
      <c r="E89" s="6">
        <v>0.5</v>
      </c>
      <c r="F89" s="2">
        <f>B27*E89</f>
        <v>27000</v>
      </c>
      <c r="G89" s="6">
        <v>0.5</v>
      </c>
      <c r="H89" s="2">
        <f>B27*G89*B26</f>
        <v>27810</v>
      </c>
      <c r="I89" s="6">
        <v>1</v>
      </c>
      <c r="J89" s="2">
        <f>B27*I89*B26*B26</f>
        <v>57288.6</v>
      </c>
      <c r="K89" s="2"/>
      <c r="L89" s="2"/>
    </row>
    <row r="90" spans="2:12" x14ac:dyDescent="0.25">
      <c r="C90" s="1" t="s">
        <v>19</v>
      </c>
      <c r="D90" s="1" t="s">
        <v>85</v>
      </c>
      <c r="E90" s="6">
        <v>0.5</v>
      </c>
      <c r="F90" s="2">
        <f>B28*E90</f>
        <v>12000</v>
      </c>
      <c r="G90" s="6">
        <v>0.5</v>
      </c>
      <c r="H90" s="2">
        <f>B28*G90*B26</f>
        <v>12360</v>
      </c>
      <c r="I90" s="6">
        <v>0.5</v>
      </c>
      <c r="J90" s="2">
        <f>B28*I90*B26*B26</f>
        <v>12730.800000000001</v>
      </c>
      <c r="K90" s="2"/>
      <c r="L90" s="2"/>
    </row>
    <row r="91" spans="2:12" x14ac:dyDescent="0.25">
      <c r="C91" s="1" t="s">
        <v>19</v>
      </c>
      <c r="D91" s="1" t="s">
        <v>86</v>
      </c>
      <c r="E91" s="6"/>
      <c r="F91" s="2">
        <f>B28*E91</f>
        <v>0</v>
      </c>
      <c r="G91" s="6"/>
      <c r="H91" s="2">
        <f>B28*G91*B26</f>
        <v>0</v>
      </c>
      <c r="I91" s="6">
        <v>0</v>
      </c>
      <c r="J91" s="2">
        <f>B28*I91*B26*B26</f>
        <v>0</v>
      </c>
      <c r="K91" s="2"/>
      <c r="L91" s="2"/>
    </row>
    <row r="92" spans="2:12" x14ac:dyDescent="0.25">
      <c r="C92" s="1" t="s">
        <v>84</v>
      </c>
      <c r="D92" s="1" t="s">
        <v>85</v>
      </c>
      <c r="E92" s="6">
        <v>0</v>
      </c>
      <c r="F92" s="2">
        <f>B25*E92</f>
        <v>0</v>
      </c>
      <c r="G92" s="6">
        <v>0</v>
      </c>
      <c r="H92" s="2">
        <f>B25*G92</f>
        <v>0</v>
      </c>
      <c r="I92" s="6">
        <v>0</v>
      </c>
      <c r="J92" s="2">
        <f>B25*I92</f>
        <v>0</v>
      </c>
      <c r="K92" s="2"/>
      <c r="L92" s="2"/>
    </row>
    <row r="93" spans="2:12" x14ac:dyDescent="0.25">
      <c r="C93" s="1" t="s">
        <v>84</v>
      </c>
      <c r="D93" s="1" t="s">
        <v>86</v>
      </c>
      <c r="E93" s="6">
        <v>0</v>
      </c>
      <c r="F93" s="2">
        <f>B25*E93</f>
        <v>0</v>
      </c>
      <c r="G93" s="6"/>
      <c r="H93" s="2">
        <f>B25*G93</f>
        <v>0</v>
      </c>
      <c r="I93" s="6"/>
      <c r="J93" s="2">
        <f>B25*I93</f>
        <v>0</v>
      </c>
      <c r="K93" s="2"/>
      <c r="L93" s="2"/>
    </row>
    <row r="94" spans="2:12" x14ac:dyDescent="0.25">
      <c r="C94" s="1" t="s">
        <v>44</v>
      </c>
      <c r="E94" s="6"/>
      <c r="F94" s="2">
        <f>F87*0.3 + F88*0.3 + F89*0.3 + F90*0.1 + F91*0.1 +F92*0.085 + F93*0.085</f>
        <v>12988.2</v>
      </c>
      <c r="G94" s="2"/>
      <c r="H94" s="2">
        <f>H87*0.3 + H88*0.3 + H89*0.3 + H90*0.1 + H91*0.1 +H92*0.085 + H93*0.085</f>
        <v>13377.846</v>
      </c>
      <c r="I94" s="7"/>
      <c r="J94" s="2">
        <f>J87*0.3 + J88*0.3 + J89*0.3 + J90*0.1 + J91*0.1 +J92*0.085 + J93*0.085</f>
        <v>22372.471379999999</v>
      </c>
      <c r="K94" s="2"/>
      <c r="L94" s="2"/>
    </row>
    <row r="95" spans="2:12" x14ac:dyDescent="0.25">
      <c r="C95" s="1" t="s">
        <v>20</v>
      </c>
      <c r="E95" s="6">
        <v>1</v>
      </c>
      <c r="F95" s="2">
        <f>B30*E95</f>
        <v>10000</v>
      </c>
      <c r="G95" s="6">
        <v>1</v>
      </c>
      <c r="H95" s="2">
        <f>B30*G95</f>
        <v>10000</v>
      </c>
      <c r="I95" s="6">
        <v>1</v>
      </c>
      <c r="J95" s="2">
        <f>B30*I95</f>
        <v>10000</v>
      </c>
      <c r="K95" s="2"/>
      <c r="L95" s="2"/>
    </row>
    <row r="96" spans="2:12" x14ac:dyDescent="0.25">
      <c r="C96" s="1" t="s">
        <v>35</v>
      </c>
      <c r="E96" s="6"/>
      <c r="F96" s="2">
        <f>(E89*B32) + (E91*B34)</f>
        <v>9600</v>
      </c>
      <c r="G96" s="6"/>
      <c r="H96" s="2">
        <f>(G89*B32) + (G91*B34)</f>
        <v>9600</v>
      </c>
      <c r="I96" s="6"/>
      <c r="J96" s="2">
        <f>(I89*B32) + (I91*B34)</f>
        <v>19200</v>
      </c>
      <c r="K96" s="2"/>
      <c r="L96" s="2"/>
    </row>
    <row r="97" spans="2:12" x14ac:dyDescent="0.25">
      <c r="C97" s="1" t="s">
        <v>21</v>
      </c>
      <c r="E97" s="6"/>
      <c r="F97" s="2">
        <f>(E90+E91)*B29</f>
        <v>4570</v>
      </c>
      <c r="G97" s="6"/>
      <c r="H97" s="2">
        <f>(G90+G91)*B29</f>
        <v>4570</v>
      </c>
      <c r="I97" s="6"/>
      <c r="J97" s="2">
        <f>(I90+I91)*B29</f>
        <v>4570</v>
      </c>
      <c r="K97" s="2"/>
      <c r="L97" s="2"/>
    </row>
    <row r="98" spans="2:12" x14ac:dyDescent="0.25">
      <c r="C98" s="1" t="s">
        <v>22</v>
      </c>
      <c r="E98" s="6">
        <v>1</v>
      </c>
      <c r="F98" s="2">
        <f>B31*E98</f>
        <v>2500</v>
      </c>
      <c r="G98" s="6">
        <v>1</v>
      </c>
      <c r="H98" s="2">
        <f>B31*G98</f>
        <v>2500</v>
      </c>
      <c r="I98" s="6">
        <v>1</v>
      </c>
      <c r="J98" s="2">
        <f>B31*I98</f>
        <v>2500</v>
      </c>
      <c r="K98" s="2"/>
      <c r="L98" s="2"/>
    </row>
    <row r="99" spans="2:12" x14ac:dyDescent="0.25">
      <c r="C99" s="1" t="s">
        <v>23</v>
      </c>
      <c r="D99" s="1"/>
      <c r="E99" s="1"/>
      <c r="F99" s="2">
        <f>SUM(F87:F98)</f>
        <v>90952.2</v>
      </c>
      <c r="G99" s="2"/>
      <c r="H99" s="2">
        <f>SUM(H87:H98)</f>
        <v>92880.665999999997</v>
      </c>
      <c r="I99" s="7"/>
      <c r="J99" s="2">
        <f>SUM(J87:J98)</f>
        <v>141704.57598000002</v>
      </c>
      <c r="K99" s="2"/>
      <c r="L99" s="2"/>
    </row>
    <row r="100" spans="2:12" x14ac:dyDescent="0.25">
      <c r="C100" s="1" t="s">
        <v>88</v>
      </c>
      <c r="D100" s="1"/>
      <c r="E100" s="1"/>
      <c r="F100" s="2">
        <f>(F87*1.3*0.515) + (F88*1.3*0.515) + (F90*1.1*0.515) + (F92*1.085*0.515)  + (F98*0.515)</f>
        <v>16316.333000000002</v>
      </c>
      <c r="G100" s="2"/>
      <c r="H100" s="2">
        <f>(H87*1.3*0.515) + (H88*1.3*0.515) + (H90*1.1*0.515) + (H92*1.085*0.515)  + (H98*0.515)</f>
        <v>16767.197990000001</v>
      </c>
      <c r="I100" s="7"/>
      <c r="J100" s="2">
        <f>(J87*1.3*0.515) + (J88*1.3*0.515) + (J90*1.1*0.515) + (J92*1.085*0.515)  + (J98*0.515)</f>
        <v>17231.588929700003</v>
      </c>
      <c r="K100" s="2"/>
      <c r="L100" s="2"/>
    </row>
    <row r="101" spans="2:12" x14ac:dyDescent="0.25">
      <c r="C101" s="1" t="s">
        <v>89</v>
      </c>
      <c r="D101" s="1"/>
      <c r="E101" s="1"/>
      <c r="F101" s="2">
        <f xml:space="preserve"> (F89*1.3*0.26)  + (F91*1.1*0.26) + (F93*1.085*0.26)  + (F95*0.26) + (F96*0.26)</f>
        <v>14222</v>
      </c>
      <c r="G101" s="2"/>
      <c r="H101" s="2">
        <f xml:space="preserve"> (H89*1.3*0.26)  + (H91*1.1*0.26) + (H93*1.085*0.26)  + (H95*0.26) + (H96*0.26)</f>
        <v>14495.78</v>
      </c>
      <c r="I101" s="7"/>
      <c r="J101" s="2">
        <f xml:space="preserve"> (J89*1.3*0.26)  + (J91*1.1*0.26) + (J93*1.085*0.26)  + (J95*0.26) + (J96*0.26)</f>
        <v>26955.546800000004</v>
      </c>
      <c r="K101" s="2"/>
      <c r="L101" s="2"/>
    </row>
    <row r="102" spans="2:12" x14ac:dyDescent="0.25">
      <c r="C102" s="1" t="s">
        <v>24</v>
      </c>
      <c r="D102" s="1"/>
      <c r="E102" s="1"/>
      <c r="F102" s="2">
        <f>SUM(F99:F101)</f>
        <v>121490.533</v>
      </c>
      <c r="G102" s="2"/>
      <c r="H102" s="2">
        <f>SUM(H99:H101)</f>
        <v>124143.64399</v>
      </c>
      <c r="I102" s="7"/>
      <c r="J102" s="2">
        <f>SUM(J99:J101)</f>
        <v>185891.71170970003</v>
      </c>
      <c r="K102" s="2"/>
      <c r="L102" s="2"/>
    </row>
    <row r="103" spans="2:12" x14ac:dyDescent="0.25">
      <c r="C103" s="1"/>
      <c r="D103" s="1"/>
      <c r="E103" s="1"/>
      <c r="F103" s="2"/>
      <c r="G103" s="2"/>
      <c r="H103" s="2"/>
      <c r="I103" s="2"/>
      <c r="J103" s="2"/>
      <c r="K103" s="2"/>
      <c r="L103" s="2"/>
    </row>
    <row r="104" spans="2:12" x14ac:dyDescent="0.25">
      <c r="C104" s="1"/>
      <c r="D104" s="1"/>
      <c r="E104" s="1"/>
      <c r="F104" s="2"/>
      <c r="G104" s="2"/>
      <c r="H104" s="2"/>
      <c r="I104" s="2"/>
      <c r="J104" s="2"/>
      <c r="K104" s="2"/>
      <c r="L104" s="2"/>
    </row>
    <row r="105" spans="2:12" x14ac:dyDescent="0.25">
      <c r="B105" s="1" t="s">
        <v>33</v>
      </c>
      <c r="C105" s="1" t="s">
        <v>75</v>
      </c>
      <c r="D105" s="1"/>
      <c r="E105" s="1" t="s">
        <v>36</v>
      </c>
      <c r="F105" s="1" t="s">
        <v>2</v>
      </c>
      <c r="G105" s="1" t="s">
        <v>37</v>
      </c>
      <c r="H105" s="1" t="s">
        <v>3</v>
      </c>
      <c r="I105" s="1" t="s">
        <v>38</v>
      </c>
      <c r="J105" s="1" t="s">
        <v>4</v>
      </c>
      <c r="K105" s="1"/>
      <c r="L105" s="1" t="s">
        <v>5</v>
      </c>
    </row>
    <row r="106" spans="2:12" x14ac:dyDescent="0.25">
      <c r="C106" s="1" t="s">
        <v>17</v>
      </c>
      <c r="E106" s="6">
        <v>1</v>
      </c>
      <c r="F106" s="2">
        <f>B17*E106</f>
        <v>12294</v>
      </c>
      <c r="G106" s="6">
        <v>1</v>
      </c>
      <c r="H106" s="2">
        <f>B17*G106*B26</f>
        <v>12662.82</v>
      </c>
      <c r="I106" s="11">
        <v>1</v>
      </c>
      <c r="J106" s="2">
        <f>B17*I106*B26*B26</f>
        <v>13042.704600000001</v>
      </c>
      <c r="K106" s="2"/>
      <c r="L106" s="2"/>
    </row>
    <row r="107" spans="2:12" x14ac:dyDescent="0.25">
      <c r="C107" s="1" t="s">
        <v>18</v>
      </c>
      <c r="D107" s="1" t="s">
        <v>85</v>
      </c>
      <c r="E107" s="6">
        <v>0.5</v>
      </c>
      <c r="F107" s="2">
        <f>B27*E107</f>
        <v>27000</v>
      </c>
      <c r="G107" s="6">
        <v>0.5</v>
      </c>
      <c r="H107" s="2">
        <f>B27*G107*B26</f>
        <v>27810</v>
      </c>
      <c r="I107" s="11">
        <v>0</v>
      </c>
      <c r="J107" s="2">
        <f>B27*I107*B26*B26</f>
        <v>0</v>
      </c>
      <c r="K107" s="2"/>
      <c r="L107" s="2"/>
    </row>
    <row r="108" spans="2:12" x14ac:dyDescent="0.25">
      <c r="C108" s="1" t="s">
        <v>18</v>
      </c>
      <c r="D108" s="1" t="s">
        <v>86</v>
      </c>
      <c r="E108" s="6"/>
      <c r="F108" s="2">
        <f>B27*E108</f>
        <v>0</v>
      </c>
      <c r="G108" s="6"/>
      <c r="H108" s="2">
        <f>B27*G108*B26</f>
        <v>0</v>
      </c>
      <c r="I108" s="11"/>
      <c r="J108" s="2">
        <f>B27*I108*B26*B26</f>
        <v>0</v>
      </c>
      <c r="K108" s="2"/>
      <c r="L108" s="2"/>
    </row>
    <row r="109" spans="2:12" x14ac:dyDescent="0.25">
      <c r="C109" s="1" t="s">
        <v>19</v>
      </c>
      <c r="D109" s="1" t="s">
        <v>85</v>
      </c>
      <c r="E109" s="6">
        <v>0</v>
      </c>
      <c r="F109" s="2">
        <f>B28*E109</f>
        <v>0</v>
      </c>
      <c r="G109" s="6">
        <v>0</v>
      </c>
      <c r="H109" s="2">
        <f>B28*G109*B26</f>
        <v>0</v>
      </c>
      <c r="I109" s="11">
        <v>0</v>
      </c>
      <c r="J109" s="2">
        <f>B28*I109*B26*B26</f>
        <v>0</v>
      </c>
      <c r="K109" s="2"/>
      <c r="L109" s="2"/>
    </row>
    <row r="110" spans="2:12" x14ac:dyDescent="0.25">
      <c r="C110" s="1" t="s">
        <v>19</v>
      </c>
      <c r="D110" s="1" t="s">
        <v>86</v>
      </c>
      <c r="E110" s="6"/>
      <c r="F110" s="2">
        <f>B28*E110</f>
        <v>0</v>
      </c>
      <c r="G110" s="6"/>
      <c r="H110" s="2">
        <f>B28*G110*B26</f>
        <v>0</v>
      </c>
      <c r="I110" s="11"/>
      <c r="J110" s="2">
        <f>B28*I110*B26*B26</f>
        <v>0</v>
      </c>
      <c r="K110" s="2"/>
      <c r="L110" s="2"/>
    </row>
    <row r="111" spans="2:12" x14ac:dyDescent="0.25">
      <c r="C111" s="1" t="s">
        <v>84</v>
      </c>
      <c r="D111" s="1" t="s">
        <v>85</v>
      </c>
      <c r="E111" s="6">
        <v>0</v>
      </c>
      <c r="F111" s="2">
        <f>B25*E111</f>
        <v>0</v>
      </c>
      <c r="G111" s="6">
        <v>0</v>
      </c>
      <c r="H111" s="2">
        <f>B25*G111</f>
        <v>0</v>
      </c>
      <c r="I111" s="11">
        <v>2</v>
      </c>
      <c r="J111" s="2">
        <f>B25*I111</f>
        <v>10000</v>
      </c>
      <c r="K111" s="2"/>
      <c r="L111" s="2"/>
    </row>
    <row r="112" spans="2:12" x14ac:dyDescent="0.25">
      <c r="C112" s="1" t="s">
        <v>84</v>
      </c>
      <c r="D112" s="1" t="s">
        <v>86</v>
      </c>
      <c r="E112" s="6"/>
      <c r="F112" s="2">
        <f>B25*E112</f>
        <v>0</v>
      </c>
      <c r="G112" s="6"/>
      <c r="H112" s="2">
        <f>B25*G112</f>
        <v>0</v>
      </c>
      <c r="I112" s="11"/>
      <c r="J112" s="2">
        <f>B25*I112</f>
        <v>0</v>
      </c>
      <c r="K112" s="2"/>
      <c r="L112" s="2"/>
    </row>
    <row r="113" spans="2:12" x14ac:dyDescent="0.25">
      <c r="C113" s="1" t="s">
        <v>44</v>
      </c>
      <c r="E113" s="6"/>
      <c r="F113" s="2">
        <f>F106*0.3 + F107*0.3 + F108*0.3 + F109*0.1 + F110*0.1 +F111*0.085 + F112*0.085</f>
        <v>11788.2</v>
      </c>
      <c r="G113" s="2"/>
      <c r="H113" s="2">
        <f>H106*0.3 + H107*0.3 + H108*0.3 + H109*0.1 + H110*0.1 +H111*0.085 + H112*0.085</f>
        <v>12141.846</v>
      </c>
      <c r="I113" s="12"/>
      <c r="J113" s="2">
        <f>J106*0.3 + J107*0.3 + J108*0.3 + J109*0.1 + J110*0.1 +J111*0.085 + J112*0.085</f>
        <v>4762.8113800000001</v>
      </c>
      <c r="K113" s="2"/>
      <c r="L113" s="2"/>
    </row>
    <row r="114" spans="2:12" ht="15.75" customHeight="1" x14ac:dyDescent="0.25">
      <c r="C114" s="1" t="s">
        <v>20</v>
      </c>
      <c r="E114" s="6"/>
      <c r="F114" s="2"/>
      <c r="G114" s="6"/>
      <c r="H114" s="2"/>
      <c r="I114" s="11"/>
      <c r="J114" s="2"/>
      <c r="K114" s="2"/>
      <c r="L114" s="2"/>
    </row>
    <row r="115" spans="2:12" x14ac:dyDescent="0.25">
      <c r="C115" s="1" t="s">
        <v>35</v>
      </c>
      <c r="E115" s="6"/>
      <c r="F115" s="2">
        <f>(E108*B32) + (E110*B34)</f>
        <v>0</v>
      </c>
      <c r="G115" s="6"/>
      <c r="H115" s="2">
        <f>(G108*B32) + (G110*B34)</f>
        <v>0</v>
      </c>
      <c r="I115" s="11"/>
      <c r="J115" s="2">
        <f>(I108*B32) + (I110*B34)</f>
        <v>0</v>
      </c>
      <c r="K115" s="2"/>
      <c r="L115" s="2"/>
    </row>
    <row r="116" spans="2:12" x14ac:dyDescent="0.25">
      <c r="C116" s="1" t="s">
        <v>21</v>
      </c>
      <c r="E116" s="6"/>
      <c r="F116" s="2">
        <f>(E109+E110)*B29</f>
        <v>0</v>
      </c>
      <c r="G116" s="6"/>
      <c r="H116" s="2">
        <f>(G109+G110)*B29</f>
        <v>0</v>
      </c>
      <c r="I116" s="11"/>
      <c r="J116" s="2">
        <f>(I109+I110)*B29</f>
        <v>0</v>
      </c>
      <c r="K116" s="2"/>
      <c r="L116" s="2"/>
    </row>
    <row r="117" spans="2:12" x14ac:dyDescent="0.25">
      <c r="C117" s="1" t="s">
        <v>22</v>
      </c>
      <c r="E117" s="6"/>
      <c r="F117" s="2">
        <f>B31</f>
        <v>2500</v>
      </c>
      <c r="G117" s="6"/>
      <c r="H117" s="2">
        <f>B31</f>
        <v>2500</v>
      </c>
      <c r="I117" s="11"/>
      <c r="J117" s="2">
        <f>B31</f>
        <v>2500</v>
      </c>
      <c r="K117" s="2"/>
      <c r="L117" s="2"/>
    </row>
    <row r="118" spans="2:12" x14ac:dyDescent="0.25">
      <c r="C118" s="1" t="s">
        <v>78</v>
      </c>
      <c r="E118" s="6"/>
      <c r="F118" s="2"/>
      <c r="G118" s="6"/>
      <c r="H118" s="2"/>
      <c r="I118" s="11"/>
      <c r="J118" s="2"/>
      <c r="K118" s="2"/>
      <c r="L118" s="2"/>
    </row>
    <row r="119" spans="2:12" x14ac:dyDescent="0.25">
      <c r="C119" s="1" t="s">
        <v>23</v>
      </c>
      <c r="D119" s="1"/>
      <c r="E119" s="1"/>
      <c r="F119" s="2">
        <f>SUM(F106:F118)</f>
        <v>53582.2</v>
      </c>
      <c r="G119" s="2"/>
      <c r="H119" s="2">
        <f>SUM(H106:H118)</f>
        <v>55114.665999999997</v>
      </c>
      <c r="I119" s="2"/>
      <c r="J119" s="2">
        <f>SUM(J106:J118)</f>
        <v>30305.51598</v>
      </c>
      <c r="K119" s="2"/>
      <c r="L119" s="2"/>
    </row>
    <row r="120" spans="2:12" x14ac:dyDescent="0.25">
      <c r="C120" s="1" t="s">
        <v>88</v>
      </c>
      <c r="D120" s="1"/>
      <c r="E120" s="1"/>
      <c r="F120" s="2">
        <f>(F106*1.3*0.515) + (F107*1.3*0.515) + (F109*1.1*0.515)  + (F111*1.085*0.515)  + (F114*0.515*0.36)  + (F117*0.515) + (F118*0.515)</f>
        <v>27594.832999999999</v>
      </c>
      <c r="G120" s="2"/>
      <c r="H120" s="2">
        <f>(H106*1.3*0.515) + (H107*1.3*0.515) + (H109*1.1*0.515)  + (H111*1.085*0.515)  + (H114*0.515*0.36)  + (H117*0.515) + (H118*0.515)</f>
        <v>28384.052990000004</v>
      </c>
      <c r="I120" s="2"/>
      <c r="J120" s="2">
        <f>(J106*1.3*0.515) + (J107*1.3*0.515) + (J109*1.1*0.515)  + (J111*1.085*0.515)  + (J114*0.515*0.36)  + (J117*0.515) + (J118*0.515)</f>
        <v>15607.340729699999</v>
      </c>
      <c r="K120" s="2"/>
      <c r="L120" s="2"/>
    </row>
    <row r="121" spans="2:12" x14ac:dyDescent="0.25">
      <c r="C121" s="1" t="s">
        <v>89</v>
      </c>
      <c r="D121" s="1"/>
      <c r="E121" s="1"/>
      <c r="F121" s="2">
        <f xml:space="preserve"> (F108*1.3*0.26) + (F110*1.1*0.26) + (F112*1.085*0.26)  + (F114*0.26*0.64) + (F115*0.26)</f>
        <v>0</v>
      </c>
      <c r="G121" s="2"/>
      <c r="H121" s="2">
        <f xml:space="preserve"> (H108*1.3*0.26) + (H110*1.1*0.26) + (H112*1.085*0.26)  + (H114*0.26*0.64) + (H115*0.26)</f>
        <v>0</v>
      </c>
      <c r="I121" s="2"/>
      <c r="J121" s="2">
        <f xml:space="preserve"> (J108*1.3*0.26) + (J110*1.1*0.26) + (J112*1.085*0.26)  + (J114*0.26*0.64) + (J115*0.26)</f>
        <v>0</v>
      </c>
      <c r="K121" s="2"/>
      <c r="L121" s="2"/>
    </row>
    <row r="122" spans="2:12" x14ac:dyDescent="0.25">
      <c r="C122" s="1" t="s">
        <v>24</v>
      </c>
      <c r="D122" s="1"/>
      <c r="E122" s="1"/>
      <c r="F122" s="2">
        <f>SUM(F119:F121)</f>
        <v>81177.032999999996</v>
      </c>
      <c r="G122" s="2"/>
      <c r="H122" s="2">
        <f>SUM(H119:H121)</f>
        <v>83498.718989999994</v>
      </c>
      <c r="I122" s="2"/>
      <c r="J122" s="2">
        <f>SUM(J119:J121)</f>
        <v>45912.856709699998</v>
      </c>
      <c r="K122" s="2"/>
      <c r="L122" s="2"/>
    </row>
    <row r="125" spans="2:12" x14ac:dyDescent="0.25">
      <c r="B125" s="1" t="s">
        <v>34</v>
      </c>
      <c r="C125" s="1" t="s">
        <v>15</v>
      </c>
      <c r="D125" s="1"/>
      <c r="E125" s="1" t="s">
        <v>36</v>
      </c>
      <c r="F125" s="1" t="s">
        <v>2</v>
      </c>
      <c r="G125" s="1" t="s">
        <v>37</v>
      </c>
      <c r="H125" s="1" t="s">
        <v>3</v>
      </c>
      <c r="I125" s="1" t="s">
        <v>38</v>
      </c>
      <c r="J125" s="1" t="s">
        <v>4</v>
      </c>
      <c r="K125" s="1"/>
      <c r="L125" s="1" t="s">
        <v>5</v>
      </c>
    </row>
    <row r="126" spans="2:12" x14ac:dyDescent="0.25">
      <c r="C126" s="1" t="s">
        <v>17</v>
      </c>
      <c r="E126" s="1">
        <v>2</v>
      </c>
      <c r="F126" s="2">
        <f>B18*E126</f>
        <v>27024</v>
      </c>
      <c r="G126" s="5">
        <v>2</v>
      </c>
      <c r="H126" s="2">
        <f>B18*G126*B26</f>
        <v>27834.720000000001</v>
      </c>
      <c r="I126" s="6">
        <v>2</v>
      </c>
      <c r="J126" s="2">
        <f>B18*I126*B26*B26</f>
        <v>28669.761600000002</v>
      </c>
      <c r="K126" s="2"/>
      <c r="L126" s="2"/>
    </row>
    <row r="127" spans="2:12" x14ac:dyDescent="0.25">
      <c r="C127" s="1" t="s">
        <v>18</v>
      </c>
      <c r="D127" s="1" t="s">
        <v>85</v>
      </c>
      <c r="E127" s="1">
        <v>0.5</v>
      </c>
      <c r="F127" s="2">
        <f>B27*E127</f>
        <v>27000</v>
      </c>
      <c r="G127" s="5">
        <v>0</v>
      </c>
      <c r="H127" s="2">
        <f>B27*G127*B26</f>
        <v>0</v>
      </c>
      <c r="I127" s="6">
        <v>0</v>
      </c>
      <c r="J127" s="2">
        <f>B27*I127*B26*B26</f>
        <v>0</v>
      </c>
      <c r="K127" s="2"/>
      <c r="L127" s="2"/>
    </row>
    <row r="128" spans="2:12" x14ac:dyDescent="0.25">
      <c r="C128" s="1" t="s">
        <v>18</v>
      </c>
      <c r="D128" s="1" t="s">
        <v>86</v>
      </c>
      <c r="E128" s="1">
        <v>0.5</v>
      </c>
      <c r="F128" s="2">
        <f>B27*E128</f>
        <v>27000</v>
      </c>
      <c r="G128" s="5">
        <v>1</v>
      </c>
      <c r="H128" s="2">
        <f>B27*G128*B26</f>
        <v>55620</v>
      </c>
      <c r="I128" s="6">
        <v>1</v>
      </c>
      <c r="J128" s="2">
        <f>B27*I128*B26*B26</f>
        <v>57288.6</v>
      </c>
      <c r="K128" s="2"/>
      <c r="L128" s="2"/>
    </row>
    <row r="129" spans="2:12" x14ac:dyDescent="0.25">
      <c r="C129" s="1" t="s">
        <v>19</v>
      </c>
      <c r="D129" s="1" t="s">
        <v>85</v>
      </c>
      <c r="E129" s="1">
        <v>0.5</v>
      </c>
      <c r="F129" s="2">
        <f>B28*E129</f>
        <v>12000</v>
      </c>
      <c r="G129" s="5">
        <v>0.5</v>
      </c>
      <c r="H129" s="2">
        <f>B28*G129*B26</f>
        <v>12360</v>
      </c>
      <c r="I129" s="6">
        <v>0</v>
      </c>
      <c r="J129" s="2">
        <f>B28*I129*B26*B26</f>
        <v>0</v>
      </c>
      <c r="K129" s="2"/>
      <c r="L129" s="2"/>
    </row>
    <row r="130" spans="2:12" x14ac:dyDescent="0.25">
      <c r="C130" s="1" t="s">
        <v>19</v>
      </c>
      <c r="D130" s="1" t="s">
        <v>86</v>
      </c>
      <c r="E130" s="1">
        <v>0.5</v>
      </c>
      <c r="F130" s="2">
        <f>B28*E130</f>
        <v>12000</v>
      </c>
      <c r="G130" s="5">
        <v>0.5</v>
      </c>
      <c r="H130" s="2">
        <f>B28*G130*B26</f>
        <v>12360</v>
      </c>
      <c r="I130" s="6">
        <v>1</v>
      </c>
      <c r="J130" s="2">
        <f>B28*I130*B26*B26</f>
        <v>25461.600000000002</v>
      </c>
      <c r="K130" s="2"/>
      <c r="L130" s="2"/>
    </row>
    <row r="131" spans="2:12" x14ac:dyDescent="0.25">
      <c r="C131" s="1" t="s">
        <v>84</v>
      </c>
      <c r="D131" s="1" t="s">
        <v>85</v>
      </c>
      <c r="E131" s="1">
        <v>1.5</v>
      </c>
      <c r="F131" s="2">
        <f>B25*E131</f>
        <v>7500</v>
      </c>
      <c r="G131" s="5">
        <v>1.5</v>
      </c>
      <c r="H131" s="2">
        <f>B25*G131</f>
        <v>7500</v>
      </c>
      <c r="I131" s="6">
        <v>1.5</v>
      </c>
      <c r="J131" s="2">
        <f>B25*I131</f>
        <v>7500</v>
      </c>
      <c r="K131" s="2"/>
      <c r="L131" s="2"/>
    </row>
    <row r="132" spans="2:12" x14ac:dyDescent="0.25">
      <c r="C132" s="1" t="s">
        <v>84</v>
      </c>
      <c r="D132" s="1" t="s">
        <v>86</v>
      </c>
      <c r="E132" s="1">
        <v>0.5</v>
      </c>
      <c r="F132" s="2">
        <f>B25*E132</f>
        <v>2500</v>
      </c>
      <c r="G132" s="5">
        <v>0.5</v>
      </c>
      <c r="H132" s="2">
        <f>B25*G132</f>
        <v>2500</v>
      </c>
      <c r="I132" s="6">
        <v>0.5</v>
      </c>
      <c r="J132" s="2">
        <f>B25*I132</f>
        <v>2500</v>
      </c>
      <c r="K132" s="2"/>
      <c r="L132" s="2"/>
    </row>
    <row r="133" spans="2:12" x14ac:dyDescent="0.25">
      <c r="C133" s="1" t="s">
        <v>44</v>
      </c>
      <c r="E133" s="1"/>
      <c r="F133" s="2">
        <f>F126*0.3 + F127*0.3 + F128*0.3 + F129*0.1 + F130*0.1 +F131*0.085 + F132*0.085</f>
        <v>27557.200000000001</v>
      </c>
      <c r="G133" s="2"/>
      <c r="H133" s="2">
        <f>H126*0.3 + H127*0.3 + H128*0.3 + H129*0.1 + H130*0.1 +H131*0.085 + H132*0.085</f>
        <v>28358.415999999997</v>
      </c>
      <c r="I133" s="7"/>
      <c r="J133" s="2">
        <f>J126*0.3 + J127*0.3 + J128*0.3 + J129*0.1 + J130*0.1 +J131*0.085 + J132*0.085</f>
        <v>29183.668479999997</v>
      </c>
      <c r="K133" s="2"/>
      <c r="L133" s="2"/>
    </row>
    <row r="134" spans="2:12" x14ac:dyDescent="0.25">
      <c r="C134" s="1" t="s">
        <v>20</v>
      </c>
      <c r="E134" s="1">
        <v>1</v>
      </c>
      <c r="F134" s="2">
        <f>B30*E134</f>
        <v>10000</v>
      </c>
      <c r="G134" s="5">
        <v>1</v>
      </c>
      <c r="H134" s="2">
        <f>B30*G134</f>
        <v>10000</v>
      </c>
      <c r="I134" s="6">
        <v>1</v>
      </c>
      <c r="J134" s="2">
        <f>B30*I134</f>
        <v>10000</v>
      </c>
      <c r="K134" s="2"/>
      <c r="L134" s="2"/>
    </row>
    <row r="135" spans="2:12" x14ac:dyDescent="0.25">
      <c r="C135" s="1" t="s">
        <v>95</v>
      </c>
      <c r="E135" s="1"/>
      <c r="F135" s="2">
        <f>(E128*B33/2) + (E128*B32/2) + (E130*B35)</f>
        <v>7950</v>
      </c>
      <c r="G135" s="5"/>
      <c r="H135" s="2">
        <f>(G128/2*B32) + (G128/2*B33) + (G130*B34)</f>
        <v>18300</v>
      </c>
      <c r="I135" s="6"/>
      <c r="J135" s="2">
        <f>(I128/2*B32) + (I130/2*B33) + (I128/2*B34) + (I128/2*B35)</f>
        <v>20100</v>
      </c>
      <c r="K135" s="2"/>
      <c r="L135" s="2"/>
    </row>
    <row r="136" spans="2:12" x14ac:dyDescent="0.25">
      <c r="C136" s="1" t="s">
        <v>21</v>
      </c>
      <c r="E136" s="1"/>
      <c r="F136" s="2">
        <f>(E129+E130)*B29</f>
        <v>9140</v>
      </c>
      <c r="G136" s="5"/>
      <c r="H136" s="2">
        <f>(G129+G130)*B29</f>
        <v>9140</v>
      </c>
      <c r="I136" s="6"/>
      <c r="J136" s="2">
        <f>(I129+I130)*B29</f>
        <v>9140</v>
      </c>
      <c r="K136" s="2"/>
      <c r="L136" s="2"/>
    </row>
    <row r="137" spans="2:12" x14ac:dyDescent="0.25">
      <c r="C137" s="1" t="s">
        <v>22</v>
      </c>
      <c r="E137" s="1">
        <v>1</v>
      </c>
      <c r="F137" s="2">
        <f>B31*E137</f>
        <v>2500</v>
      </c>
      <c r="G137" s="5">
        <v>1</v>
      </c>
      <c r="H137" s="2">
        <f>B31*G137</f>
        <v>2500</v>
      </c>
      <c r="I137" s="6">
        <v>1</v>
      </c>
      <c r="J137" s="2">
        <f>B31*I137</f>
        <v>2500</v>
      </c>
      <c r="K137" s="2"/>
      <c r="L137" s="2"/>
    </row>
    <row r="138" spans="2:12" x14ac:dyDescent="0.25">
      <c r="C138" s="1" t="s">
        <v>23</v>
      </c>
      <c r="D138" s="1"/>
      <c r="E138" s="1"/>
      <c r="F138" s="2">
        <f>SUM(F126:F137)</f>
        <v>172171.2</v>
      </c>
      <c r="G138" s="2"/>
      <c r="H138" s="2">
        <f>SUM(H126:H137)</f>
        <v>186473.136</v>
      </c>
      <c r="I138" s="2"/>
      <c r="J138" s="2">
        <f>SUM(J126:J137)</f>
        <v>192343.63008</v>
      </c>
      <c r="K138" s="2"/>
      <c r="L138" s="2"/>
    </row>
    <row r="139" spans="2:12" x14ac:dyDescent="0.25">
      <c r="C139" s="1" t="s">
        <v>88</v>
      </c>
      <c r="D139" s="1"/>
      <c r="E139" s="1"/>
      <c r="F139" s="2">
        <f>(F126*1.3*0.515) + (F127*1.3*0.515) + (F129*1.1*0.515) + (F131*1.085*0.515)  + (B30/2*0.515)  + (F137*0.515)</f>
        <v>51020.380499999999</v>
      </c>
      <c r="G139" s="2"/>
      <c r="H139" s="2">
        <f>(H126*1.3*0.515) + (H127*1.3*0.515) + (H129*1.1*0.515) + (H131*1.085*0.515)  + (B30/2*0.515)  + (H137*0.515)</f>
        <v>33690.597540000002</v>
      </c>
      <c r="I139" s="2"/>
      <c r="J139" s="2">
        <f>(J126*1.3*0.515) + (J127*1.3*0.515) + (J129*1.1*0.515) + (J131*1.085*0.515)  + (B30/2*0.515)  + (J137*0.515)</f>
        <v>27247.717891200002</v>
      </c>
      <c r="K139" s="2"/>
      <c r="L139" s="2"/>
    </row>
    <row r="140" spans="2:12" x14ac:dyDescent="0.25">
      <c r="C140" s="1" t="s">
        <v>89</v>
      </c>
      <c r="D140" s="1"/>
      <c r="E140" s="1"/>
      <c r="F140" s="2">
        <f xml:space="preserve"> (F128*1.3*0.26)  + (F130*1.1*0.26) + (F132*1.085*0.26)  + (F135*0.26)</f>
        <v>15330.25</v>
      </c>
      <c r="G140" s="2"/>
      <c r="H140" s="2">
        <f xml:space="preserve"> (H128*1.3*0.26)  + (H130*1.1*0.26) + (H132*1.085*0.26) + (H135*0.26)</f>
        <v>27797.77</v>
      </c>
      <c r="I140" s="2"/>
      <c r="J140" s="2">
        <f xml:space="preserve"> (J128*1.3*0.26)  + (J130*1.1*0.26) + (J132*1.085*0.26)  + (J135*0.26)</f>
        <v>32576.814400000007</v>
      </c>
      <c r="K140" s="2"/>
      <c r="L140" s="2"/>
    </row>
    <row r="141" spans="2:12" x14ac:dyDescent="0.25">
      <c r="C141" s="1" t="s">
        <v>24</v>
      </c>
      <c r="D141" s="1"/>
      <c r="E141" s="1"/>
      <c r="F141" s="2">
        <f>SUM(F138:F140)</f>
        <v>238521.83050000001</v>
      </c>
      <c r="G141" s="2"/>
      <c r="H141" s="2">
        <f>SUM(H138:H140)</f>
        <v>247961.50353999998</v>
      </c>
      <c r="I141" s="2"/>
      <c r="J141" s="2">
        <f>SUM(J138:J140)</f>
        <v>252168.16237120001</v>
      </c>
      <c r="K141" s="2"/>
      <c r="L141" s="2"/>
    </row>
    <row r="144" spans="2:12" x14ac:dyDescent="0.25">
      <c r="B144" s="1" t="s">
        <v>16</v>
      </c>
      <c r="C144" s="1" t="s">
        <v>14</v>
      </c>
      <c r="D144" s="1"/>
      <c r="E144" s="1" t="s">
        <v>36</v>
      </c>
      <c r="F144" s="1" t="s">
        <v>2</v>
      </c>
      <c r="G144" s="1" t="s">
        <v>37</v>
      </c>
      <c r="H144" s="1" t="s">
        <v>3</v>
      </c>
      <c r="I144" s="1" t="s">
        <v>38</v>
      </c>
      <c r="J144" s="1" t="s">
        <v>4</v>
      </c>
      <c r="K144" s="1"/>
      <c r="L144" s="1" t="s">
        <v>5</v>
      </c>
    </row>
    <row r="145" spans="3:12" x14ac:dyDescent="0.25">
      <c r="C145" s="1" t="s">
        <v>17</v>
      </c>
      <c r="E145" s="1">
        <v>2</v>
      </c>
      <c r="F145" s="2">
        <f>B19*E145</f>
        <v>20666</v>
      </c>
      <c r="G145" s="5">
        <v>2</v>
      </c>
      <c r="H145" s="2">
        <f>B19*G145*B26</f>
        <v>21285.98</v>
      </c>
      <c r="I145" s="6">
        <v>2</v>
      </c>
      <c r="J145" s="2">
        <f>B19*I145*B26*B26</f>
        <v>21924.559400000002</v>
      </c>
      <c r="K145" s="2"/>
      <c r="L145" s="2"/>
    </row>
    <row r="146" spans="3:12" x14ac:dyDescent="0.25">
      <c r="C146" s="1" t="s">
        <v>18</v>
      </c>
      <c r="D146" s="1" t="s">
        <v>85</v>
      </c>
      <c r="E146" s="1">
        <v>0.5</v>
      </c>
      <c r="F146" s="2">
        <f>B27*E146</f>
        <v>27000</v>
      </c>
      <c r="G146" s="5">
        <v>0.5</v>
      </c>
      <c r="H146" s="2">
        <f>B27*G146*B26</f>
        <v>27810</v>
      </c>
      <c r="I146" s="6">
        <v>0.5</v>
      </c>
      <c r="J146" s="2">
        <f>B27*I146*B26*B26</f>
        <v>28644.3</v>
      </c>
      <c r="K146" s="2"/>
      <c r="L146" s="2"/>
    </row>
    <row r="147" spans="3:12" x14ac:dyDescent="0.25">
      <c r="C147" s="1" t="s">
        <v>18</v>
      </c>
      <c r="D147" s="1" t="s">
        <v>86</v>
      </c>
      <c r="E147" s="1">
        <v>0.55000000000000004</v>
      </c>
      <c r="F147" s="2">
        <f>B27*E147</f>
        <v>29700.000000000004</v>
      </c>
      <c r="G147" s="5">
        <v>0.55000000000000004</v>
      </c>
      <c r="H147" s="2">
        <f>B27*G147*B26</f>
        <v>30591.000000000004</v>
      </c>
      <c r="I147" s="6">
        <v>0.55000000000000004</v>
      </c>
      <c r="J147" s="2">
        <f>B27*I147*B26*B26</f>
        <v>31508.730000000003</v>
      </c>
      <c r="K147" s="2"/>
      <c r="L147" s="2"/>
    </row>
    <row r="148" spans="3:12" x14ac:dyDescent="0.25">
      <c r="C148" s="1" t="s">
        <v>19</v>
      </c>
      <c r="D148" s="1" t="s">
        <v>85</v>
      </c>
      <c r="E148" s="1">
        <v>1</v>
      </c>
      <c r="F148" s="2">
        <f>B28*E148</f>
        <v>24000</v>
      </c>
      <c r="G148" s="5">
        <v>1</v>
      </c>
      <c r="H148" s="2">
        <f>B28*G148*B26</f>
        <v>24720</v>
      </c>
      <c r="I148" s="6">
        <v>1</v>
      </c>
      <c r="J148" s="2">
        <f>B28*I148*B26*B26</f>
        <v>25461.600000000002</v>
      </c>
      <c r="K148" s="2"/>
      <c r="L148" s="2"/>
    </row>
    <row r="149" spans="3:12" x14ac:dyDescent="0.25">
      <c r="C149" s="1" t="s">
        <v>19</v>
      </c>
      <c r="D149" s="1" t="s">
        <v>86</v>
      </c>
      <c r="E149" s="1"/>
      <c r="F149" s="2">
        <f>B28*E149</f>
        <v>0</v>
      </c>
      <c r="G149" s="5"/>
      <c r="H149" s="2">
        <f>B28*G149*B26</f>
        <v>0</v>
      </c>
      <c r="I149" s="6"/>
      <c r="J149" s="2">
        <f>B28*I149*B26*B26</f>
        <v>0</v>
      </c>
      <c r="K149" s="2"/>
      <c r="L149" s="2"/>
    </row>
    <row r="150" spans="3:12" x14ac:dyDescent="0.25">
      <c r="C150" s="1" t="s">
        <v>84</v>
      </c>
      <c r="D150" s="1" t="s">
        <v>85</v>
      </c>
      <c r="E150" s="1"/>
      <c r="F150" s="2">
        <f>B25*E150</f>
        <v>0</v>
      </c>
      <c r="G150" s="5"/>
      <c r="H150" s="2">
        <f>B25*G150</f>
        <v>0</v>
      </c>
      <c r="I150" s="6"/>
      <c r="J150" s="2">
        <f>B25*I150</f>
        <v>0</v>
      </c>
      <c r="K150" s="2"/>
      <c r="L150" s="2"/>
    </row>
    <row r="151" spans="3:12" x14ac:dyDescent="0.25">
      <c r="C151" s="1" t="s">
        <v>84</v>
      </c>
      <c r="D151" s="1" t="s">
        <v>86</v>
      </c>
      <c r="E151" s="1"/>
      <c r="F151" s="2">
        <f>B25*E151</f>
        <v>0</v>
      </c>
      <c r="G151" s="5"/>
      <c r="H151" s="2">
        <f>B25*G151</f>
        <v>0</v>
      </c>
      <c r="I151" s="6"/>
      <c r="J151" s="2">
        <f>B25*I151</f>
        <v>0</v>
      </c>
      <c r="K151" s="2"/>
      <c r="L151" s="2"/>
    </row>
    <row r="152" spans="3:12" x14ac:dyDescent="0.25">
      <c r="C152" s="1" t="s">
        <v>44</v>
      </c>
      <c r="E152" s="1"/>
      <c r="F152" s="2">
        <f>F145*0.3 + F146*0.3 + F147*0.3 + F148*0.1 + F149*0.1 +F150*0.085 + F151*0.085</f>
        <v>25609.8</v>
      </c>
      <c r="G152" s="2"/>
      <c r="H152" s="2">
        <f>H145*0.3 + H146*0.3 + H147*0.3 + H148*0.1 + H149*0.1 +H150*0.085 + H151*0.085</f>
        <v>26378.094000000001</v>
      </c>
      <c r="I152" s="7"/>
      <c r="J152" s="2">
        <f>J145*0.3 + J146*0.3 + J147*0.3 + J148*0.1 + J149*0.1 +J150*0.085 + J151*0.085</f>
        <v>27169.436819999999</v>
      </c>
      <c r="K152" s="2"/>
      <c r="L152" s="2"/>
    </row>
    <row r="153" spans="3:12" x14ac:dyDescent="0.25">
      <c r="C153" s="1" t="s">
        <v>20</v>
      </c>
      <c r="E153" s="1">
        <v>1</v>
      </c>
      <c r="F153" s="2">
        <f>B30*E153</f>
        <v>10000</v>
      </c>
      <c r="G153" s="5">
        <v>1</v>
      </c>
      <c r="H153" s="2">
        <f>B30*G153</f>
        <v>10000</v>
      </c>
      <c r="I153" s="6">
        <v>1</v>
      </c>
      <c r="J153" s="2">
        <f>B30*I153</f>
        <v>10000</v>
      </c>
      <c r="K153" s="2"/>
      <c r="L153" s="2"/>
    </row>
    <row r="154" spans="3:12" x14ac:dyDescent="0.25">
      <c r="C154" s="1" t="s">
        <v>35</v>
      </c>
      <c r="E154" s="1"/>
      <c r="F154" s="2">
        <f>(E147*B32) + (E149*B34)</f>
        <v>10560</v>
      </c>
      <c r="G154" s="5"/>
      <c r="H154" s="2">
        <f>(G147*B32) + (G149*B34)</f>
        <v>10560</v>
      </c>
      <c r="I154" s="6"/>
      <c r="J154" s="2">
        <f>(I147*B32) + (I149*B34)</f>
        <v>10560</v>
      </c>
      <c r="K154" s="2"/>
      <c r="L154" s="2"/>
    </row>
    <row r="155" spans="3:12" x14ac:dyDescent="0.25">
      <c r="C155" s="1" t="s">
        <v>21</v>
      </c>
      <c r="E155" s="1"/>
      <c r="F155" s="2">
        <f>(E148+E149)*B29</f>
        <v>9140</v>
      </c>
      <c r="G155" s="5"/>
      <c r="H155" s="2">
        <f>(G148+G149)*B29</f>
        <v>9140</v>
      </c>
      <c r="I155" s="6"/>
      <c r="J155" s="2">
        <f>(I148+I149)*B29</f>
        <v>9140</v>
      </c>
      <c r="K155" s="2"/>
      <c r="L155" s="2"/>
    </row>
    <row r="156" spans="3:12" x14ac:dyDescent="0.25">
      <c r="C156" s="1" t="s">
        <v>22</v>
      </c>
      <c r="E156" s="1">
        <v>1</v>
      </c>
      <c r="F156" s="2">
        <f>B31*E156</f>
        <v>2500</v>
      </c>
      <c r="G156" s="5">
        <v>1</v>
      </c>
      <c r="H156" s="2">
        <f>B31*G156</f>
        <v>2500</v>
      </c>
      <c r="I156" s="6">
        <v>1</v>
      </c>
      <c r="J156" s="2">
        <f>B31*I156</f>
        <v>2500</v>
      </c>
      <c r="K156" s="2"/>
      <c r="L156" s="2"/>
    </row>
    <row r="157" spans="3:12" x14ac:dyDescent="0.25">
      <c r="C157" s="1" t="s">
        <v>23</v>
      </c>
      <c r="D157" s="1"/>
      <c r="E157" s="1"/>
      <c r="F157" s="2">
        <f>SUM(F145:F156)</f>
        <v>159175.79999999999</v>
      </c>
      <c r="G157" s="4"/>
      <c r="H157" s="2">
        <f>SUM(H145:H156)</f>
        <v>162985.07399999999</v>
      </c>
      <c r="I157" s="2"/>
      <c r="J157" s="2">
        <f>SUM(J145:J156)</f>
        <v>166908.62622000001</v>
      </c>
      <c r="K157" s="2"/>
      <c r="L157" s="2"/>
    </row>
    <row r="158" spans="3:12" x14ac:dyDescent="0.25">
      <c r="C158" s="1" t="s">
        <v>88</v>
      </c>
      <c r="D158" s="1"/>
      <c r="E158" s="1"/>
      <c r="F158" s="2">
        <f>(F145*1.3*0.515) + (F146*1.3*0.515) + (F148*1.1*0.515) + (F150*1.085*0.515)  + (F156*0.515)</f>
        <v>46795.887000000002</v>
      </c>
      <c r="G158" s="4"/>
      <c r="H158" s="2">
        <f>(H145*1.3*0.515) + (H146*1.3*0.515) + (H148*1.1*0.515) + (H150*1.085*0.515)  + (H156*0.515)</f>
        <v>48161.138610000009</v>
      </c>
      <c r="I158" s="2"/>
      <c r="J158" s="2">
        <f>(J145*1.3*0.515) + (J146*1.3*0.515) + (J148*1.1*0.515) + (J150*1.085*0.515) + (J156*0.515)</f>
        <v>49567.347768300009</v>
      </c>
      <c r="K158" s="2"/>
      <c r="L158" s="2"/>
    </row>
    <row r="159" spans="3:12" x14ac:dyDescent="0.25">
      <c r="C159" s="1" t="s">
        <v>89</v>
      </c>
      <c r="D159" s="1"/>
      <c r="E159" s="1"/>
      <c r="F159" s="2">
        <f xml:space="preserve"> (F147*1.3*0.26)  + (F149*1.1*0.26) + (F151*1.085*0.26)  + (F153*0.26) + (F154*0.26)</f>
        <v>15384.200000000003</v>
      </c>
      <c r="G159" s="4"/>
      <c r="H159" s="2">
        <f xml:space="preserve"> (H147*1.3*0.26)  + (H149*1.1*0.26) + (H151*1.085*0.26)  + (H153*0.26) + (H154*0.26)</f>
        <v>15685.358000000002</v>
      </c>
      <c r="I159" s="2"/>
      <c r="J159" s="2">
        <f xml:space="preserve"> (J147*1.3*0.26)  + (J149*1.1*0.26) + (J151*1.085*0.26)  + (J153*0.26) + (J154*0.26)</f>
        <v>15995.550740000001</v>
      </c>
      <c r="K159" s="2"/>
      <c r="L159" s="2"/>
    </row>
    <row r="160" spans="3:12" x14ac:dyDescent="0.25">
      <c r="C160" s="1" t="s">
        <v>24</v>
      </c>
      <c r="D160" s="1"/>
      <c r="E160" s="1"/>
      <c r="F160" s="2">
        <f>SUM(F157:F159)</f>
        <v>221355.88699999999</v>
      </c>
      <c r="G160" s="4"/>
      <c r="H160" s="2">
        <f>SUM(H157:H159)</f>
        <v>226831.57061</v>
      </c>
      <c r="I160" s="2"/>
      <c r="J160" s="2">
        <f>SUM(J157:J159)</f>
        <v>232471.52472830002</v>
      </c>
      <c r="K160" s="2"/>
      <c r="L160" s="2"/>
    </row>
    <row r="163" spans="2:12" x14ac:dyDescent="0.25">
      <c r="C163" s="1"/>
      <c r="D163" s="1"/>
      <c r="E163" s="1"/>
      <c r="F163" s="2"/>
      <c r="G163" s="2"/>
      <c r="H163" s="2"/>
      <c r="I163" s="2"/>
      <c r="J163" s="2"/>
      <c r="K163" s="2"/>
      <c r="L163" s="2"/>
    </row>
    <row r="164" spans="2:12" x14ac:dyDescent="0.25">
      <c r="B164" s="1" t="s">
        <v>62</v>
      </c>
      <c r="C164" s="1" t="s">
        <v>14</v>
      </c>
      <c r="D164" s="1"/>
      <c r="E164" s="1" t="s">
        <v>36</v>
      </c>
      <c r="F164" s="1" t="s">
        <v>2</v>
      </c>
      <c r="G164" s="1" t="s">
        <v>37</v>
      </c>
      <c r="H164" s="1" t="s">
        <v>3</v>
      </c>
      <c r="I164" s="1" t="s">
        <v>38</v>
      </c>
      <c r="J164" s="1" t="s">
        <v>4</v>
      </c>
      <c r="K164" s="1"/>
      <c r="L164" s="1" t="s">
        <v>5</v>
      </c>
    </row>
    <row r="165" spans="2:12" x14ac:dyDescent="0.25">
      <c r="C165" s="1" t="s">
        <v>17</v>
      </c>
      <c r="E165" s="1">
        <v>2</v>
      </c>
      <c r="F165" s="2">
        <f>B20*E165</f>
        <v>17090</v>
      </c>
      <c r="G165" s="1">
        <v>2</v>
      </c>
      <c r="H165" s="2">
        <f>B20*G165*B26</f>
        <v>17602.7</v>
      </c>
      <c r="I165" s="6">
        <v>2</v>
      </c>
      <c r="J165" s="2">
        <f>B20*I165*B26*B26</f>
        <v>18130.781000000003</v>
      </c>
      <c r="K165" s="2"/>
      <c r="L165" s="2"/>
    </row>
    <row r="166" spans="2:12" x14ac:dyDescent="0.25">
      <c r="C166" s="1" t="s">
        <v>18</v>
      </c>
      <c r="D166" s="1" t="s">
        <v>85</v>
      </c>
      <c r="E166" s="1">
        <v>0</v>
      </c>
      <c r="F166" s="2">
        <f>B27*E166</f>
        <v>0</v>
      </c>
      <c r="G166" s="1">
        <v>0</v>
      </c>
      <c r="H166" s="2">
        <f>B27*G166*B26</f>
        <v>0</v>
      </c>
      <c r="I166" s="6">
        <v>0</v>
      </c>
      <c r="J166" s="2">
        <f>B27*I166*B26*B26</f>
        <v>0</v>
      </c>
      <c r="K166" s="2"/>
      <c r="L166" s="2"/>
    </row>
    <row r="167" spans="2:12" x14ac:dyDescent="0.25">
      <c r="C167" s="1" t="s">
        <v>18</v>
      </c>
      <c r="D167" s="1" t="s">
        <v>86</v>
      </c>
      <c r="E167" s="1">
        <v>0.5</v>
      </c>
      <c r="F167" s="2">
        <f>B27*E167</f>
        <v>27000</v>
      </c>
      <c r="G167" s="1">
        <v>0.5</v>
      </c>
      <c r="H167" s="2">
        <f>B27*G167*B26</f>
        <v>27810</v>
      </c>
      <c r="I167" s="6">
        <v>0.5</v>
      </c>
      <c r="J167" s="2">
        <f>B27*I167*B26*B26</f>
        <v>28644.3</v>
      </c>
      <c r="K167" s="2"/>
      <c r="L167" s="2"/>
    </row>
    <row r="168" spans="2:12" x14ac:dyDescent="0.25">
      <c r="C168" s="1" t="s">
        <v>19</v>
      </c>
      <c r="D168" s="1" t="s">
        <v>85</v>
      </c>
      <c r="E168" s="1">
        <v>0</v>
      </c>
      <c r="F168" s="2">
        <f>B28*E168</f>
        <v>0</v>
      </c>
      <c r="G168" s="1">
        <v>0</v>
      </c>
      <c r="H168" s="2">
        <f>B28*G168*B26</f>
        <v>0</v>
      </c>
      <c r="I168" s="6">
        <v>0</v>
      </c>
      <c r="J168" s="2">
        <f>B28*I168*B26*B26</f>
        <v>0</v>
      </c>
      <c r="K168" s="2"/>
      <c r="L168" s="2"/>
    </row>
    <row r="169" spans="2:12" x14ac:dyDescent="0.25">
      <c r="C169" s="1" t="s">
        <v>19</v>
      </c>
      <c r="D169" s="1" t="s">
        <v>86</v>
      </c>
      <c r="E169" s="1">
        <v>1</v>
      </c>
      <c r="F169" s="2">
        <f>B28*E169</f>
        <v>24000</v>
      </c>
      <c r="G169" s="1">
        <v>1</v>
      </c>
      <c r="H169" s="2">
        <f>B28*G169*B26</f>
        <v>24720</v>
      </c>
      <c r="I169" s="6">
        <v>1</v>
      </c>
      <c r="J169" s="2">
        <f>B28*I169*B26*B26</f>
        <v>25461.600000000002</v>
      </c>
      <c r="K169" s="2"/>
      <c r="L169" s="2"/>
    </row>
    <row r="170" spans="2:12" x14ac:dyDescent="0.25">
      <c r="C170" s="1" t="s">
        <v>84</v>
      </c>
      <c r="D170" s="1" t="s">
        <v>85</v>
      </c>
      <c r="E170" s="1">
        <v>0</v>
      </c>
      <c r="F170" s="2">
        <f>B25*E170</f>
        <v>0</v>
      </c>
      <c r="G170" s="1">
        <v>0</v>
      </c>
      <c r="H170" s="2">
        <f>B25*G170</f>
        <v>0</v>
      </c>
      <c r="I170" s="6">
        <v>0</v>
      </c>
      <c r="J170" s="2">
        <f>B25*I170</f>
        <v>0</v>
      </c>
      <c r="K170" s="2"/>
      <c r="L170" s="2"/>
    </row>
    <row r="171" spans="2:12" x14ac:dyDescent="0.25">
      <c r="C171" s="1" t="s">
        <v>84</v>
      </c>
      <c r="D171" s="1" t="s">
        <v>86</v>
      </c>
      <c r="E171" s="1">
        <v>0</v>
      </c>
      <c r="F171" s="2">
        <f>B25*E171</f>
        <v>0</v>
      </c>
      <c r="G171" s="1">
        <v>0</v>
      </c>
      <c r="H171" s="2">
        <f>B25*G171</f>
        <v>0</v>
      </c>
      <c r="I171" s="6">
        <v>0</v>
      </c>
      <c r="J171" s="2">
        <f>B25*I171</f>
        <v>0</v>
      </c>
      <c r="K171" s="2"/>
      <c r="L171" s="2"/>
    </row>
    <row r="172" spans="2:12" x14ac:dyDescent="0.25">
      <c r="C172" s="1" t="s">
        <v>44</v>
      </c>
      <c r="E172" s="1"/>
      <c r="F172" s="2">
        <f>F165*0.3 + F166*0.3 + F167*0.3 + F168*0.1 + F169*0.1 +F170*0.085 + F171*0.085</f>
        <v>15627</v>
      </c>
      <c r="G172" s="2"/>
      <c r="H172" s="2">
        <f>H165*0.3 + H166*0.3 + H167*0.3 + H168*0.1 + H169*0.1 +H170*0.085 + H171*0.085</f>
        <v>16095.810000000001</v>
      </c>
      <c r="I172" s="7"/>
      <c r="J172" s="2">
        <f>J165*0.3 + J166*0.3 + J167*0.3 + J168*0.1 + J169*0.1 +J170*0.085 + J171*0.085</f>
        <v>16578.684300000001</v>
      </c>
      <c r="K172" s="2"/>
      <c r="L172" s="2"/>
    </row>
    <row r="173" spans="2:12" x14ac:dyDescent="0.25">
      <c r="C173" s="1" t="s">
        <v>20</v>
      </c>
      <c r="E173" s="1">
        <v>1</v>
      </c>
      <c r="F173" s="2">
        <f>B30*E173</f>
        <v>10000</v>
      </c>
      <c r="G173" s="1">
        <v>1</v>
      </c>
      <c r="H173" s="2">
        <f>B30*G173</f>
        <v>10000</v>
      </c>
      <c r="I173" s="6">
        <v>1</v>
      </c>
      <c r="J173" s="2">
        <f>B30*I173</f>
        <v>10000</v>
      </c>
      <c r="K173" s="2"/>
      <c r="L173" s="2"/>
    </row>
    <row r="174" spans="2:12" x14ac:dyDescent="0.25">
      <c r="C174" s="1" t="s">
        <v>35</v>
      </c>
      <c r="E174" s="1"/>
      <c r="F174" s="2">
        <f>(E167*B32) + (E169*B34)</f>
        <v>21600</v>
      </c>
      <c r="G174" s="1"/>
      <c r="H174" s="2">
        <f>(G167*B32) + (G169*B34)</f>
        <v>21600</v>
      </c>
      <c r="I174" s="6"/>
      <c r="J174" s="2">
        <f>(I167*B32) + (I169*B34)</f>
        <v>21600</v>
      </c>
      <c r="K174" s="2"/>
      <c r="L174" s="2"/>
    </row>
    <row r="175" spans="2:12" x14ac:dyDescent="0.25">
      <c r="C175" s="1" t="s">
        <v>21</v>
      </c>
      <c r="E175" s="1"/>
      <c r="F175" s="2">
        <f>(E168+E169)*B29</f>
        <v>9140</v>
      </c>
      <c r="G175" s="1"/>
      <c r="H175" s="2">
        <f>(G168+G169)*B29</f>
        <v>9140</v>
      </c>
      <c r="I175" s="6"/>
      <c r="J175" s="2">
        <f>(I168+I169)*B29</f>
        <v>9140</v>
      </c>
      <c r="K175" s="2"/>
      <c r="L175" s="2"/>
    </row>
    <row r="176" spans="2:12" x14ac:dyDescent="0.25">
      <c r="C176" s="1" t="s">
        <v>22</v>
      </c>
      <c r="E176" s="1">
        <v>1</v>
      </c>
      <c r="F176" s="2">
        <f>B31*E176</f>
        <v>2500</v>
      </c>
      <c r="G176" s="1">
        <v>1</v>
      </c>
      <c r="H176" s="2">
        <f>B31*G176</f>
        <v>2500</v>
      </c>
      <c r="I176" s="6">
        <v>1</v>
      </c>
      <c r="J176" s="2">
        <f>B31*I176</f>
        <v>2500</v>
      </c>
      <c r="K176" s="2"/>
      <c r="L176" s="2"/>
    </row>
    <row r="177" spans="2:12" x14ac:dyDescent="0.25">
      <c r="C177" s="1" t="s">
        <v>23</v>
      </c>
      <c r="D177" s="1"/>
      <c r="E177" s="1"/>
      <c r="F177" s="2">
        <f>SUM(F165:F176)</f>
        <v>126957</v>
      </c>
      <c r="G177" s="2"/>
      <c r="H177" s="2">
        <f>SUM(H165:H176)</f>
        <v>129468.51</v>
      </c>
      <c r="I177" s="2"/>
      <c r="J177" s="2">
        <f>SUM(J165:J176)</f>
        <v>132055.3653</v>
      </c>
      <c r="K177" s="2"/>
      <c r="L177" s="2"/>
    </row>
    <row r="178" spans="2:12" x14ac:dyDescent="0.25">
      <c r="C178" s="1" t="s">
        <v>88</v>
      </c>
      <c r="D178" s="1"/>
      <c r="E178" s="1"/>
      <c r="F178" s="2">
        <f>(F165*1.3*0.515) + (F166*1.3*0.515) + (F168*1.1*0.515) + (F170*1.085*0.515) + (F176*0.515)</f>
        <v>12729.255000000001</v>
      </c>
      <c r="G178" s="2"/>
      <c r="H178" s="2">
        <f>(H165*1.3*0.515) + (H166*1.3*0.515) + (H168*1.1*0.515) + (H170*1.085*0.515)  + (H176*0.515)</f>
        <v>13072.507650000001</v>
      </c>
      <c r="I178" s="2"/>
      <c r="J178" s="2">
        <f>(J165*1.3*0.515) + (J166*1.3*0.515) + (J168*1.1*0.515) + (J170*1.085*0.515) + (J176*0.515)</f>
        <v>13426.057879500002</v>
      </c>
      <c r="K178" s="2"/>
      <c r="L178" s="2"/>
    </row>
    <row r="179" spans="2:12" x14ac:dyDescent="0.25">
      <c r="C179" s="1" t="s">
        <v>89</v>
      </c>
      <c r="D179" s="1"/>
      <c r="E179" s="1"/>
      <c r="F179" s="2">
        <f xml:space="preserve"> (F167*1.3*0.26)  + (F169*1.1*0.26) + (F171*1.085*0.26)  + (F173*0.26) + (F174*0.26)</f>
        <v>24206</v>
      </c>
      <c r="G179" s="2"/>
      <c r="H179" s="2">
        <f xml:space="preserve"> (H167*1.3*0.26)  + (H169*1.1*0.26) + (H171*1.085*0.26)  + (H173*0.26) + (H174*0.26)</f>
        <v>24685.7</v>
      </c>
      <c r="I179" s="2"/>
      <c r="J179" s="2">
        <f xml:space="preserve"> (J167*1.3*0.26)  + (J169*1.1*0.26) + (J171*1.085*0.26)  + (J173*0.26) + (J174*0.26)</f>
        <v>25179.791000000005</v>
      </c>
      <c r="K179" s="2"/>
      <c r="L179" s="2"/>
    </row>
    <row r="180" spans="2:12" x14ac:dyDescent="0.25">
      <c r="C180" s="1" t="s">
        <v>24</v>
      </c>
      <c r="D180" s="1"/>
      <c r="E180" s="1"/>
      <c r="F180" s="2">
        <f>SUM(F177:F179)</f>
        <v>163892.255</v>
      </c>
      <c r="G180" s="2"/>
      <c r="H180" s="2">
        <f>SUM(H177:H179)</f>
        <v>167226.71765000001</v>
      </c>
      <c r="I180" s="2"/>
      <c r="J180" s="2">
        <f>SUM(J177:J179)</f>
        <v>170661.21417950001</v>
      </c>
      <c r="K180" s="2"/>
      <c r="L180" s="2"/>
    </row>
    <row r="181" spans="2:12" x14ac:dyDescent="0.25">
      <c r="C181" s="1"/>
      <c r="D181" s="1"/>
      <c r="E181" s="1"/>
      <c r="F181" s="2"/>
      <c r="G181" s="2"/>
      <c r="H181" s="2"/>
      <c r="I181" s="2"/>
      <c r="J181" s="2"/>
      <c r="K181" s="2"/>
      <c r="L181" s="2"/>
    </row>
    <row r="182" spans="2:12" x14ac:dyDescent="0.25">
      <c r="C182" s="1"/>
      <c r="D182" s="1"/>
      <c r="E182" s="1"/>
      <c r="F182" s="2"/>
      <c r="G182" s="2"/>
      <c r="H182" s="2"/>
      <c r="I182" s="2"/>
      <c r="J182" s="2"/>
      <c r="K182" s="2"/>
      <c r="L182" s="2"/>
    </row>
    <row r="183" spans="2:12" x14ac:dyDescent="0.25">
      <c r="B183" s="1" t="s">
        <v>64</v>
      </c>
      <c r="C183" s="1" t="s">
        <v>15</v>
      </c>
      <c r="D183" s="1"/>
      <c r="E183" s="1" t="s">
        <v>36</v>
      </c>
      <c r="F183" s="1" t="s">
        <v>2</v>
      </c>
      <c r="G183" s="1" t="s">
        <v>37</v>
      </c>
      <c r="H183" s="1" t="s">
        <v>3</v>
      </c>
      <c r="I183" s="1" t="s">
        <v>38</v>
      </c>
      <c r="J183" s="1" t="s">
        <v>4</v>
      </c>
      <c r="K183" s="1"/>
      <c r="L183" s="1" t="s">
        <v>5</v>
      </c>
    </row>
    <row r="184" spans="2:12" x14ac:dyDescent="0.25">
      <c r="C184" s="1" t="s">
        <v>17</v>
      </c>
      <c r="E184" s="1">
        <v>2</v>
      </c>
      <c r="F184" s="2">
        <f>B21*E184</f>
        <v>18768</v>
      </c>
      <c r="G184" s="1">
        <v>2</v>
      </c>
      <c r="H184" s="2">
        <f>B21*G184*B26</f>
        <v>19331.04</v>
      </c>
      <c r="I184" s="6">
        <v>2</v>
      </c>
      <c r="J184" s="2">
        <f>B21*I184*B26*B26</f>
        <v>19910.9712</v>
      </c>
      <c r="K184" s="2"/>
      <c r="L184" s="2"/>
    </row>
    <row r="185" spans="2:12" x14ac:dyDescent="0.25">
      <c r="C185" s="1" t="s">
        <v>18</v>
      </c>
      <c r="D185" s="1" t="s">
        <v>85</v>
      </c>
      <c r="E185" s="1">
        <v>0</v>
      </c>
      <c r="F185" s="2">
        <f>B27*E185</f>
        <v>0</v>
      </c>
      <c r="G185" s="1">
        <v>0</v>
      </c>
      <c r="H185" s="2">
        <f>B27*G185*B26</f>
        <v>0</v>
      </c>
      <c r="I185" s="6">
        <v>0</v>
      </c>
      <c r="J185" s="2">
        <f>B27*I185*B26*B26</f>
        <v>0</v>
      </c>
      <c r="K185" s="2"/>
      <c r="L185" s="2"/>
    </row>
    <row r="186" spans="2:12" x14ac:dyDescent="0.25">
      <c r="C186" s="1" t="s">
        <v>18</v>
      </c>
      <c r="D186" s="1" t="s">
        <v>86</v>
      </c>
      <c r="E186" s="1">
        <v>0.5</v>
      </c>
      <c r="F186" s="2">
        <f>B27*E186</f>
        <v>27000</v>
      </c>
      <c r="G186" s="1">
        <v>1</v>
      </c>
      <c r="H186" s="2">
        <f>B27*G186*B26</f>
        <v>55620</v>
      </c>
      <c r="I186" s="6">
        <v>1</v>
      </c>
      <c r="J186" s="2">
        <f>B27*I186*B26*B26</f>
        <v>57288.6</v>
      </c>
      <c r="K186" s="2"/>
      <c r="L186" s="2"/>
    </row>
    <row r="187" spans="2:12" x14ac:dyDescent="0.25">
      <c r="C187" s="1" t="s">
        <v>19</v>
      </c>
      <c r="D187" s="1" t="s">
        <v>85</v>
      </c>
      <c r="E187" s="1">
        <v>0.5</v>
      </c>
      <c r="F187" s="2">
        <f>B28*E187</f>
        <v>12000</v>
      </c>
      <c r="G187" s="1">
        <v>0.5</v>
      </c>
      <c r="H187" s="2">
        <f>B28*G187*B26</f>
        <v>12360</v>
      </c>
      <c r="I187" s="6">
        <v>0</v>
      </c>
      <c r="J187" s="2">
        <f>B28*I187*B26*B26</f>
        <v>0</v>
      </c>
      <c r="K187" s="2"/>
      <c r="L187" s="2"/>
    </row>
    <row r="188" spans="2:12" x14ac:dyDescent="0.25">
      <c r="C188" s="1" t="s">
        <v>19</v>
      </c>
      <c r="D188" s="1" t="s">
        <v>86</v>
      </c>
      <c r="E188" s="1">
        <v>0.5</v>
      </c>
      <c r="F188" s="2">
        <f>B28*E188</f>
        <v>12000</v>
      </c>
      <c r="G188" s="1">
        <v>0.5</v>
      </c>
      <c r="H188" s="2">
        <f>B28*G188*B26</f>
        <v>12360</v>
      </c>
      <c r="I188" s="6">
        <v>1</v>
      </c>
      <c r="J188" s="2">
        <f>B28*I188*B26*B26</f>
        <v>25461.600000000002</v>
      </c>
      <c r="K188" s="2"/>
      <c r="L188" s="2"/>
    </row>
    <row r="189" spans="2:12" x14ac:dyDescent="0.25">
      <c r="C189" s="1" t="s">
        <v>84</v>
      </c>
      <c r="D189" s="1" t="s">
        <v>85</v>
      </c>
      <c r="E189" s="1">
        <v>1.5</v>
      </c>
      <c r="F189" s="2">
        <f>B25*E189</f>
        <v>7500</v>
      </c>
      <c r="G189" s="1">
        <v>1.5</v>
      </c>
      <c r="H189" s="2">
        <f>B25*G189</f>
        <v>7500</v>
      </c>
      <c r="I189" s="6">
        <v>1.5</v>
      </c>
      <c r="J189" s="2">
        <f>B25*I189</f>
        <v>7500</v>
      </c>
      <c r="K189" s="2"/>
      <c r="L189" s="2"/>
    </row>
    <row r="190" spans="2:12" x14ac:dyDescent="0.25">
      <c r="C190" s="1" t="s">
        <v>84</v>
      </c>
      <c r="D190" s="1" t="s">
        <v>86</v>
      </c>
      <c r="E190" s="1">
        <v>0.5</v>
      </c>
      <c r="F190" s="2">
        <f>B25*E190</f>
        <v>2500</v>
      </c>
      <c r="G190" s="1">
        <v>0.5</v>
      </c>
      <c r="H190" s="2">
        <f>B25*G190</f>
        <v>2500</v>
      </c>
      <c r="I190" s="6">
        <v>0.5</v>
      </c>
      <c r="J190" s="2">
        <f>B25*I190</f>
        <v>2500</v>
      </c>
      <c r="K190" s="2"/>
      <c r="L190" s="2"/>
    </row>
    <row r="191" spans="2:12" x14ac:dyDescent="0.25">
      <c r="C191" s="1" t="s">
        <v>44</v>
      </c>
      <c r="E191" s="1"/>
      <c r="F191" s="2">
        <f>F184*0.3 + F185*0.3 + F186*0.3 + F187*0.1 + F188*0.1 +F189*0.085 + F190*0.085</f>
        <v>16980.400000000001</v>
      </c>
      <c r="G191" s="2"/>
      <c r="H191" s="2">
        <f>H184*0.3 + H185*0.3 + H186*0.3 + H187*0.1 + H188*0.1 +H189*0.085 + H190*0.085</f>
        <v>25807.311999999998</v>
      </c>
      <c r="I191" s="7"/>
      <c r="J191" s="2">
        <f>J184*0.3 + J185*0.3 + J186*0.3 + J187*0.1 + J188*0.1 +J189*0.085 + J190*0.085</f>
        <v>26556.031359999997</v>
      </c>
      <c r="K191" s="2"/>
      <c r="L191" s="2"/>
    </row>
    <row r="192" spans="2:12" x14ac:dyDescent="0.25">
      <c r="C192" s="1" t="s">
        <v>20</v>
      </c>
      <c r="E192" s="1">
        <v>1</v>
      </c>
      <c r="F192" s="2">
        <f>B30*E192</f>
        <v>10000</v>
      </c>
      <c r="G192" s="1">
        <v>1</v>
      </c>
      <c r="H192" s="2">
        <f>B30*G192</f>
        <v>10000</v>
      </c>
      <c r="I192" s="6">
        <v>1</v>
      </c>
      <c r="J192" s="2">
        <f>B30*I192</f>
        <v>10000</v>
      </c>
      <c r="K192" s="2"/>
      <c r="L192" s="2"/>
    </row>
    <row r="193" spans="2:12" x14ac:dyDescent="0.25">
      <c r="C193" s="1" t="s">
        <v>95</v>
      </c>
      <c r="E193" s="1"/>
      <c r="F193" s="2">
        <f>(E186*B32) + (E188*B35)</f>
        <v>11400</v>
      </c>
      <c r="G193" s="1"/>
      <c r="H193" s="2">
        <f>(G186/2*B32) + (G186/2*B33) + (G188*B34)</f>
        <v>18300</v>
      </c>
      <c r="I193" s="6"/>
      <c r="J193" s="2">
        <f>(I186/2*B32) + (I186/2*B33) + (I188/2*B34) + (I188/2*B35)</f>
        <v>20100</v>
      </c>
      <c r="K193" s="2"/>
      <c r="L193" s="2"/>
    </row>
    <row r="194" spans="2:12" x14ac:dyDescent="0.25">
      <c r="C194" s="1" t="s">
        <v>21</v>
      </c>
      <c r="E194" s="1"/>
      <c r="F194" s="2">
        <f>(E187+E188)*B29</f>
        <v>9140</v>
      </c>
      <c r="G194" s="1"/>
      <c r="H194" s="2">
        <f>(G187+G188)*B29</f>
        <v>9140</v>
      </c>
      <c r="I194" s="6"/>
      <c r="J194" s="2">
        <f>(I187+I188)*B29</f>
        <v>9140</v>
      </c>
      <c r="K194" s="2"/>
      <c r="L194" s="2"/>
    </row>
    <row r="195" spans="2:12" x14ac:dyDescent="0.25">
      <c r="C195" s="1" t="s">
        <v>22</v>
      </c>
      <c r="E195" s="1">
        <v>1</v>
      </c>
      <c r="F195" s="2">
        <f>B31*E195</f>
        <v>2500</v>
      </c>
      <c r="G195" s="1">
        <v>1</v>
      </c>
      <c r="H195" s="2">
        <f>B31*G195</f>
        <v>2500</v>
      </c>
      <c r="I195" s="6">
        <v>1</v>
      </c>
      <c r="J195" s="2">
        <f>B31*I195</f>
        <v>2500</v>
      </c>
      <c r="K195" s="2"/>
      <c r="L195" s="2"/>
    </row>
    <row r="196" spans="2:12" x14ac:dyDescent="0.25">
      <c r="C196" s="1" t="s">
        <v>23</v>
      </c>
      <c r="D196" s="1"/>
      <c r="E196" s="1"/>
      <c r="F196" s="2">
        <f>SUM(F184:F195)</f>
        <v>129788.4</v>
      </c>
      <c r="G196" s="2"/>
      <c r="H196" s="2">
        <f>SUM(H184:H195)</f>
        <v>175418.35200000001</v>
      </c>
      <c r="I196" s="2"/>
      <c r="J196" s="2">
        <f>SUM(J184:J195)</f>
        <v>180957.20256000001</v>
      </c>
      <c r="K196" s="2"/>
      <c r="L196" s="2"/>
    </row>
    <row r="197" spans="2:12" x14ac:dyDescent="0.25">
      <c r="C197" s="1" t="s">
        <v>88</v>
      </c>
      <c r="D197" s="1"/>
      <c r="E197" s="1"/>
      <c r="F197" s="2">
        <f>(F184*1.3*0.515) + (F185*1.3*0.515) + (F187*1.1*0.515) + (F189*1.085*0.515)  + (B30/2*0.515)  + (F195*0.515)</f>
        <v>27416.488500000003</v>
      </c>
      <c r="G197" s="2"/>
      <c r="H197" s="2">
        <f>(H184*1.3*0.515) + (H185*1.3*0.515) + (H187*1.1*0.515) + (H189*1.085*0.515)  + (B30/2*0.515)  + (H195*0.515)</f>
        <v>27997.383780000004</v>
      </c>
      <c r="I197" s="2"/>
      <c r="J197" s="2">
        <f>(J184*1.3*0.515) + (J185*1.3*0.515) + (J187*1.1*0.515) + (J189*1.085*0.515)  + (B30/2*0.515)  + (J195*0.515)</f>
        <v>21383.707718400001</v>
      </c>
      <c r="K197" s="2"/>
      <c r="L197" s="2"/>
    </row>
    <row r="198" spans="2:12" x14ac:dyDescent="0.25">
      <c r="C198" s="1" t="s">
        <v>89</v>
      </c>
      <c r="D198" s="1"/>
      <c r="E198" s="1"/>
      <c r="F198" s="2">
        <f xml:space="preserve"> (F186*1.3*0.26)  + (F188*1.1*0.26) + (F190*1.085*0.26)  + (F193*0.26)</f>
        <v>16227.25</v>
      </c>
      <c r="G198" s="2"/>
      <c r="H198" s="2">
        <f xml:space="preserve"> (H186*1.3*0.26)  + (H188*1.1*0.26) + (H190*1.085*0.26)  + (H193*0.26)</f>
        <v>27797.77</v>
      </c>
      <c r="I198" s="2"/>
      <c r="J198" s="2">
        <f xml:space="preserve"> (J186*1.3*0.26)  + (J188*1.1*0.26) + (J190*1.085*0.26)  + (J193*0.26)</f>
        <v>32576.814400000007</v>
      </c>
      <c r="K198" s="2"/>
      <c r="L198" s="2"/>
    </row>
    <row r="199" spans="2:12" x14ac:dyDescent="0.25">
      <c r="C199" s="1" t="s">
        <v>24</v>
      </c>
      <c r="D199" s="1"/>
      <c r="E199" s="1"/>
      <c r="F199" s="2">
        <f>SUM(F196:F198)</f>
        <v>173432.1385</v>
      </c>
      <c r="G199" s="2"/>
      <c r="H199" s="2">
        <f>SUM(H196:H198)</f>
        <v>231213.50578000001</v>
      </c>
      <c r="I199" s="2"/>
      <c r="J199" s="2">
        <f>SUM(J196:J198)</f>
        <v>234917.7246784</v>
      </c>
      <c r="K199" s="2"/>
      <c r="L199" s="2"/>
    </row>
    <row r="200" spans="2:12" x14ac:dyDescent="0.25">
      <c r="C200" s="1"/>
      <c r="D200" s="1"/>
      <c r="E200" s="1"/>
      <c r="F200" s="2"/>
      <c r="G200" s="2"/>
      <c r="H200" s="2"/>
      <c r="I200" s="2"/>
      <c r="J200" s="2"/>
      <c r="K200" s="2"/>
      <c r="L200" s="2"/>
    </row>
    <row r="201" spans="2:12" x14ac:dyDescent="0.25">
      <c r="C201" s="1"/>
      <c r="D201" s="1"/>
      <c r="E201" s="1"/>
      <c r="F201" s="2"/>
      <c r="G201" s="2"/>
      <c r="H201" s="2"/>
      <c r="I201" s="2"/>
      <c r="J201" s="2"/>
      <c r="K201" s="2"/>
      <c r="L201" s="2"/>
    </row>
    <row r="202" spans="2:12" x14ac:dyDescent="0.25">
      <c r="B202" s="1" t="s">
        <v>100</v>
      </c>
      <c r="C202" s="1" t="s">
        <v>75</v>
      </c>
      <c r="D202" s="1"/>
      <c r="E202" s="1" t="s">
        <v>36</v>
      </c>
      <c r="F202" t="s">
        <v>2</v>
      </c>
      <c r="G202" s="1" t="s">
        <v>37</v>
      </c>
      <c r="H202" t="s">
        <v>3</v>
      </c>
      <c r="I202" s="1" t="s">
        <v>38</v>
      </c>
      <c r="J202" t="s">
        <v>4</v>
      </c>
      <c r="K202" s="2"/>
      <c r="L202" s="2"/>
    </row>
    <row r="203" spans="2:12" x14ac:dyDescent="0.25">
      <c r="C203" s="1" t="s">
        <v>17</v>
      </c>
      <c r="D203" s="1"/>
      <c r="E203" s="1">
        <v>0</v>
      </c>
      <c r="F203" s="2">
        <v>0</v>
      </c>
      <c r="G203" s="1">
        <v>0</v>
      </c>
      <c r="H203" s="2">
        <v>0</v>
      </c>
      <c r="I203" s="1">
        <v>0</v>
      </c>
      <c r="J203" s="2">
        <v>0</v>
      </c>
      <c r="K203" s="2"/>
      <c r="L203" s="2"/>
    </row>
    <row r="204" spans="2:12" x14ac:dyDescent="0.25">
      <c r="C204" s="1" t="s">
        <v>18</v>
      </c>
      <c r="D204" s="1" t="s">
        <v>85</v>
      </c>
      <c r="E204" s="1">
        <v>0</v>
      </c>
      <c r="F204" s="2">
        <v>0</v>
      </c>
      <c r="G204" s="1">
        <v>0</v>
      </c>
      <c r="H204" s="2">
        <v>0</v>
      </c>
      <c r="I204" s="1">
        <v>0</v>
      </c>
      <c r="J204" s="2">
        <v>0</v>
      </c>
      <c r="K204" s="2"/>
      <c r="L204" s="2"/>
    </row>
    <row r="205" spans="2:12" x14ac:dyDescent="0.25">
      <c r="C205" s="1" t="s">
        <v>18</v>
      </c>
      <c r="D205" s="1" t="s">
        <v>86</v>
      </c>
      <c r="E205" s="1">
        <v>0</v>
      </c>
      <c r="F205" s="2">
        <v>0</v>
      </c>
      <c r="G205" s="1">
        <v>0</v>
      </c>
      <c r="H205" s="2">
        <v>0</v>
      </c>
      <c r="I205" s="1">
        <v>0</v>
      </c>
      <c r="J205" s="2">
        <v>0</v>
      </c>
      <c r="K205" s="2"/>
      <c r="L205" s="2"/>
    </row>
    <row r="206" spans="2:12" x14ac:dyDescent="0.25">
      <c r="C206" s="1" t="s">
        <v>19</v>
      </c>
      <c r="D206" s="1" t="s">
        <v>85</v>
      </c>
      <c r="E206" s="1">
        <v>0.5</v>
      </c>
      <c r="F206" s="2">
        <f>E206*B28</f>
        <v>12000</v>
      </c>
      <c r="G206" s="1">
        <v>0.5</v>
      </c>
      <c r="H206" s="2">
        <f>G206*B28*B26</f>
        <v>12360</v>
      </c>
      <c r="I206" s="1">
        <v>0.5</v>
      </c>
      <c r="J206" s="2">
        <f>I206*B28*B26*B26</f>
        <v>12730.800000000001</v>
      </c>
      <c r="K206" s="2"/>
      <c r="L206" s="2"/>
    </row>
    <row r="207" spans="2:12" x14ac:dyDescent="0.25">
      <c r="C207" s="1" t="s">
        <v>19</v>
      </c>
      <c r="D207" s="1" t="s">
        <v>86</v>
      </c>
      <c r="E207" s="1">
        <v>0</v>
      </c>
      <c r="F207" s="2">
        <v>0</v>
      </c>
      <c r="G207" s="1">
        <v>0</v>
      </c>
      <c r="H207" s="2">
        <v>0</v>
      </c>
      <c r="I207" s="1">
        <v>0</v>
      </c>
      <c r="J207" s="2">
        <v>0</v>
      </c>
      <c r="K207" s="2"/>
      <c r="L207" s="2"/>
    </row>
    <row r="208" spans="2:12" x14ac:dyDescent="0.25">
      <c r="C208" s="1" t="s">
        <v>84</v>
      </c>
      <c r="D208" s="1" t="s">
        <v>85</v>
      </c>
      <c r="E208" s="1">
        <v>0</v>
      </c>
      <c r="F208" s="2">
        <v>0</v>
      </c>
      <c r="G208" s="1">
        <v>0</v>
      </c>
      <c r="H208" s="2">
        <v>0</v>
      </c>
      <c r="I208" s="1">
        <v>0</v>
      </c>
      <c r="J208" s="2">
        <v>0</v>
      </c>
      <c r="K208" s="2"/>
      <c r="L208" s="2"/>
    </row>
    <row r="209" spans="2:12" x14ac:dyDescent="0.25">
      <c r="C209" s="1" t="s">
        <v>84</v>
      </c>
      <c r="D209" s="1" t="s">
        <v>86</v>
      </c>
      <c r="E209" s="1">
        <v>0</v>
      </c>
      <c r="F209" s="2">
        <v>0</v>
      </c>
      <c r="G209" s="1">
        <v>0</v>
      </c>
      <c r="H209" s="2">
        <v>0</v>
      </c>
      <c r="I209" s="1">
        <v>0</v>
      </c>
      <c r="J209" s="2">
        <v>0</v>
      </c>
      <c r="K209" s="2"/>
      <c r="L209" s="2"/>
    </row>
    <row r="210" spans="2:12" x14ac:dyDescent="0.25">
      <c r="C210" s="1" t="s">
        <v>44</v>
      </c>
      <c r="D210" s="1"/>
      <c r="E210" s="1"/>
      <c r="F210" s="2">
        <f>F206*0.1</f>
        <v>1200</v>
      </c>
      <c r="G210" s="1"/>
      <c r="H210" s="2">
        <f>H206*0.1</f>
        <v>1236</v>
      </c>
      <c r="I210" s="1"/>
      <c r="J210" s="2">
        <f>J206*0.1</f>
        <v>1273.0800000000002</v>
      </c>
      <c r="K210" s="2"/>
      <c r="L210" s="2"/>
    </row>
    <row r="211" spans="2:12" x14ac:dyDescent="0.25">
      <c r="C211" s="1" t="s">
        <v>20</v>
      </c>
      <c r="D211" s="1"/>
      <c r="E211" s="1"/>
      <c r="F211" s="2">
        <v>0</v>
      </c>
      <c r="G211" s="1"/>
      <c r="H211" s="2">
        <v>0</v>
      </c>
      <c r="I211" s="1"/>
      <c r="J211" s="2">
        <v>0</v>
      </c>
      <c r="K211" s="2"/>
      <c r="L211" s="2"/>
    </row>
    <row r="212" spans="2:12" x14ac:dyDescent="0.25">
      <c r="C212" s="1" t="s">
        <v>35</v>
      </c>
      <c r="D212" s="1"/>
      <c r="E212" s="1"/>
      <c r="F212" s="2">
        <v>0</v>
      </c>
      <c r="G212" s="1"/>
      <c r="H212" s="2">
        <v>0</v>
      </c>
      <c r="I212" s="1"/>
      <c r="J212" s="2">
        <v>0</v>
      </c>
      <c r="K212" s="2"/>
      <c r="L212" s="2"/>
    </row>
    <row r="213" spans="2:12" x14ac:dyDescent="0.25">
      <c r="C213" s="1" t="s">
        <v>21</v>
      </c>
      <c r="D213" s="1"/>
      <c r="E213" s="1"/>
      <c r="F213" s="2">
        <f>(E206+E207)*B29</f>
        <v>4570</v>
      </c>
      <c r="G213" s="1"/>
      <c r="H213" s="2">
        <f>(G206+G207)*B29</f>
        <v>4570</v>
      </c>
      <c r="I213" s="1"/>
      <c r="J213" s="2">
        <f>(I206+I207)*B29</f>
        <v>4570</v>
      </c>
      <c r="K213" s="2"/>
      <c r="L213" s="2"/>
    </row>
    <row r="214" spans="2:12" x14ac:dyDescent="0.25">
      <c r="C214" s="1" t="s">
        <v>22</v>
      </c>
      <c r="D214" s="1"/>
      <c r="E214" s="1"/>
      <c r="F214" s="2">
        <v>6000</v>
      </c>
      <c r="G214" s="1"/>
      <c r="H214" s="2">
        <v>6000</v>
      </c>
      <c r="I214" s="1"/>
      <c r="J214" s="2">
        <v>6000</v>
      </c>
      <c r="K214" s="2"/>
      <c r="L214" s="2"/>
    </row>
    <row r="215" spans="2:12" x14ac:dyDescent="0.25">
      <c r="C215" s="1" t="s">
        <v>23</v>
      </c>
      <c r="D215" s="1"/>
      <c r="E215" s="1"/>
      <c r="F215" s="2">
        <f>SUM(F203:F214)</f>
        <v>23770</v>
      </c>
      <c r="G215" s="1"/>
      <c r="H215" s="2">
        <f>SUM(H203:H214)</f>
        <v>24166</v>
      </c>
      <c r="I215" s="1"/>
      <c r="J215" s="2">
        <f>SUM(J203:J214)</f>
        <v>24573.88</v>
      </c>
      <c r="K215" s="2"/>
      <c r="L215" s="2"/>
    </row>
    <row r="216" spans="2:12" x14ac:dyDescent="0.25">
      <c r="C216" s="1" t="s">
        <v>88</v>
      </c>
      <c r="D216" s="1"/>
      <c r="E216" s="1"/>
      <c r="F216" s="2">
        <f>F206*1.1*0.515+F214*0.515</f>
        <v>9888</v>
      </c>
      <c r="G216" s="1"/>
      <c r="H216" s="2">
        <f>H206*1.1*0.515+H214*0.515</f>
        <v>10091.940000000002</v>
      </c>
      <c r="I216" s="1"/>
      <c r="J216" s="2">
        <f>J206*1.1*0.515+J214*0.515</f>
        <v>10301.998200000002</v>
      </c>
      <c r="K216" s="2"/>
      <c r="L216" s="2"/>
    </row>
    <row r="217" spans="2:12" x14ac:dyDescent="0.25">
      <c r="C217" s="1" t="s">
        <v>89</v>
      </c>
      <c r="D217" s="1"/>
      <c r="E217" s="1"/>
      <c r="F217" s="2">
        <v>0</v>
      </c>
      <c r="G217" s="1"/>
      <c r="H217" s="2">
        <v>0</v>
      </c>
      <c r="I217" s="1"/>
      <c r="J217" s="2">
        <v>0</v>
      </c>
      <c r="K217" s="2"/>
      <c r="L217" s="2"/>
    </row>
    <row r="218" spans="2:12" x14ac:dyDescent="0.25">
      <c r="C218" s="1" t="s">
        <v>24</v>
      </c>
      <c r="D218" s="1"/>
      <c r="E218" s="1"/>
      <c r="F218" s="2">
        <f>SUM(F215:F217)</f>
        <v>33658</v>
      </c>
      <c r="G218" s="1"/>
      <c r="H218" s="2">
        <f>SUM(H215:H217)</f>
        <v>34257.94</v>
      </c>
      <c r="I218" s="1"/>
      <c r="J218" s="2">
        <f>SUM(J215:J217)</f>
        <v>34875.878200000006</v>
      </c>
      <c r="K218" s="2"/>
      <c r="L218" s="2"/>
    </row>
    <row r="219" spans="2:12" x14ac:dyDescent="0.25">
      <c r="C219" s="1"/>
      <c r="D219" s="1"/>
      <c r="E219" s="1"/>
      <c r="F219" s="2"/>
      <c r="G219" s="2"/>
      <c r="H219" s="2"/>
      <c r="I219" s="2"/>
      <c r="J219" s="2"/>
      <c r="K219" s="2"/>
      <c r="L219" s="2"/>
    </row>
    <row r="220" spans="2:12" x14ac:dyDescent="0.25">
      <c r="C220" s="1"/>
      <c r="D220" s="1"/>
      <c r="E220" s="1"/>
      <c r="F220" s="2"/>
      <c r="G220" s="2"/>
      <c r="H220" s="2"/>
      <c r="I220" s="2"/>
      <c r="J220" s="2"/>
      <c r="K220" s="2"/>
      <c r="L220" s="2"/>
    </row>
    <row r="221" spans="2:12" x14ac:dyDescent="0.25">
      <c r="B221" s="1" t="s">
        <v>101</v>
      </c>
      <c r="C221" s="1" t="s">
        <v>75</v>
      </c>
      <c r="D221" s="1"/>
      <c r="E221" s="1" t="s">
        <v>36</v>
      </c>
      <c r="F221" t="s">
        <v>2</v>
      </c>
      <c r="G221" s="1" t="s">
        <v>37</v>
      </c>
      <c r="H221" t="s">
        <v>3</v>
      </c>
      <c r="I221" s="1" t="s">
        <v>38</v>
      </c>
      <c r="J221" t="s">
        <v>4</v>
      </c>
      <c r="K221" s="2"/>
      <c r="L221" s="2"/>
    </row>
    <row r="222" spans="2:12" x14ac:dyDescent="0.25">
      <c r="C222" s="1" t="s">
        <v>17</v>
      </c>
      <c r="D222" s="1"/>
      <c r="E222" s="1">
        <v>0</v>
      </c>
      <c r="F222" s="2">
        <v>0</v>
      </c>
      <c r="G222" s="1">
        <v>0</v>
      </c>
      <c r="H222" s="2">
        <v>0</v>
      </c>
      <c r="I222" s="1">
        <v>0</v>
      </c>
      <c r="J222" s="2">
        <v>0</v>
      </c>
      <c r="K222" s="2"/>
      <c r="L222" s="2"/>
    </row>
    <row r="223" spans="2:12" x14ac:dyDescent="0.25">
      <c r="C223" s="1" t="s">
        <v>18</v>
      </c>
      <c r="D223" s="1" t="s">
        <v>85</v>
      </c>
      <c r="E223" s="1">
        <v>0</v>
      </c>
      <c r="F223" s="2">
        <v>0</v>
      </c>
      <c r="G223" s="1">
        <v>0</v>
      </c>
      <c r="H223" s="2">
        <v>0</v>
      </c>
      <c r="I223" s="1">
        <v>0</v>
      </c>
      <c r="J223" s="2">
        <v>0</v>
      </c>
      <c r="K223" s="2"/>
      <c r="L223" s="2"/>
    </row>
    <row r="224" spans="2:12" x14ac:dyDescent="0.25">
      <c r="C224" s="1" t="s">
        <v>18</v>
      </c>
      <c r="D224" s="1" t="s">
        <v>86</v>
      </c>
      <c r="E224" s="1">
        <v>0</v>
      </c>
      <c r="F224" s="2">
        <v>0</v>
      </c>
      <c r="G224" s="1">
        <v>0</v>
      </c>
      <c r="H224" s="2">
        <v>0</v>
      </c>
      <c r="I224" s="1">
        <v>0</v>
      </c>
      <c r="J224" s="2">
        <v>0</v>
      </c>
      <c r="K224" s="2"/>
      <c r="L224" s="2"/>
    </row>
    <row r="225" spans="2:12" x14ac:dyDescent="0.25">
      <c r="C225" s="1" t="s">
        <v>19</v>
      </c>
      <c r="D225" s="1" t="s">
        <v>85</v>
      </c>
      <c r="E225" s="1">
        <v>0.5</v>
      </c>
      <c r="F225" s="2">
        <f>E225*B28</f>
        <v>12000</v>
      </c>
      <c r="G225" s="1">
        <v>0.5</v>
      </c>
      <c r="H225" s="2">
        <f>G225*B28*B26</f>
        <v>12360</v>
      </c>
      <c r="I225" s="1">
        <v>0.5</v>
      </c>
      <c r="J225" s="2">
        <f>I225*B28*B26*B26</f>
        <v>12730.800000000001</v>
      </c>
      <c r="K225" s="2"/>
      <c r="L225" s="2"/>
    </row>
    <row r="226" spans="2:12" x14ac:dyDescent="0.25">
      <c r="C226" s="1" t="s">
        <v>19</v>
      </c>
      <c r="D226" s="1" t="s">
        <v>86</v>
      </c>
      <c r="E226" s="1">
        <v>0</v>
      </c>
      <c r="F226" s="2">
        <v>0</v>
      </c>
      <c r="G226" s="1">
        <v>0</v>
      </c>
      <c r="H226" s="2">
        <v>0</v>
      </c>
      <c r="I226" s="1">
        <v>0</v>
      </c>
      <c r="J226" s="2">
        <v>0</v>
      </c>
      <c r="K226" s="2"/>
      <c r="L226" s="2"/>
    </row>
    <row r="227" spans="2:12" x14ac:dyDescent="0.25">
      <c r="C227" s="1" t="s">
        <v>84</v>
      </c>
      <c r="D227" s="1" t="s">
        <v>85</v>
      </c>
      <c r="E227" s="1">
        <v>0</v>
      </c>
      <c r="F227" s="2">
        <v>0</v>
      </c>
      <c r="G227" s="1">
        <v>0</v>
      </c>
      <c r="H227" s="2">
        <v>0</v>
      </c>
      <c r="I227" s="1">
        <v>0</v>
      </c>
      <c r="J227" s="2">
        <v>0</v>
      </c>
      <c r="K227" s="2"/>
      <c r="L227" s="2"/>
    </row>
    <row r="228" spans="2:12" x14ac:dyDescent="0.25">
      <c r="C228" s="1" t="s">
        <v>84</v>
      </c>
      <c r="D228" s="1" t="s">
        <v>86</v>
      </c>
      <c r="E228" s="1">
        <v>0</v>
      </c>
      <c r="F228" s="2">
        <v>0</v>
      </c>
      <c r="G228" s="1">
        <v>0</v>
      </c>
      <c r="H228" s="2">
        <v>0</v>
      </c>
      <c r="I228" s="1">
        <v>0</v>
      </c>
      <c r="J228" s="2">
        <v>0</v>
      </c>
      <c r="K228" s="2"/>
      <c r="L228" s="2"/>
    </row>
    <row r="229" spans="2:12" x14ac:dyDescent="0.25">
      <c r="C229" s="1" t="s">
        <v>44</v>
      </c>
      <c r="D229" s="1"/>
      <c r="E229" s="1"/>
      <c r="F229" s="2">
        <f>F225*0.1</f>
        <v>1200</v>
      </c>
      <c r="G229" s="1"/>
      <c r="H229" s="2">
        <f>H225*0.1</f>
        <v>1236</v>
      </c>
      <c r="I229" s="1"/>
      <c r="J229" s="2">
        <f>J225*0.1</f>
        <v>1273.0800000000002</v>
      </c>
      <c r="K229" s="2"/>
      <c r="L229" s="2"/>
    </row>
    <row r="230" spans="2:12" x14ac:dyDescent="0.25">
      <c r="C230" s="1" t="s">
        <v>20</v>
      </c>
      <c r="D230" s="1"/>
      <c r="E230" s="1"/>
      <c r="F230" s="2">
        <v>0</v>
      </c>
      <c r="G230" s="1"/>
      <c r="H230" s="2">
        <v>0</v>
      </c>
      <c r="I230" s="1"/>
      <c r="J230" s="2">
        <v>0</v>
      </c>
      <c r="K230" s="2"/>
      <c r="L230" s="2"/>
    </row>
    <row r="231" spans="2:12" x14ac:dyDescent="0.25">
      <c r="C231" s="1" t="s">
        <v>35</v>
      </c>
      <c r="D231" s="1"/>
      <c r="E231" s="1"/>
      <c r="F231" s="2">
        <v>0</v>
      </c>
      <c r="G231" s="1"/>
      <c r="H231" s="2">
        <v>0</v>
      </c>
      <c r="I231" s="1"/>
      <c r="J231" s="2">
        <v>0</v>
      </c>
      <c r="K231" s="2"/>
      <c r="L231" s="2"/>
    </row>
    <row r="232" spans="2:12" x14ac:dyDescent="0.25">
      <c r="C232" s="1" t="s">
        <v>21</v>
      </c>
      <c r="D232" s="1"/>
      <c r="E232" s="1"/>
      <c r="F232" s="2">
        <f>9140/2</f>
        <v>4570</v>
      </c>
      <c r="G232" s="1"/>
      <c r="H232" s="2">
        <f>9140/2</f>
        <v>4570</v>
      </c>
      <c r="I232" s="1"/>
      <c r="J232" s="2">
        <f>9140/2</f>
        <v>4570</v>
      </c>
      <c r="K232" s="2"/>
      <c r="L232" s="2"/>
    </row>
    <row r="233" spans="2:12" x14ac:dyDescent="0.25">
      <c r="C233" s="1" t="s">
        <v>22</v>
      </c>
      <c r="D233" s="1"/>
      <c r="E233" s="1"/>
      <c r="F233" s="2">
        <v>10000</v>
      </c>
      <c r="G233" s="1"/>
      <c r="H233" s="2">
        <v>10000</v>
      </c>
      <c r="I233" s="1"/>
      <c r="J233" s="2">
        <v>5000</v>
      </c>
      <c r="K233" s="2"/>
      <c r="L233" s="2"/>
    </row>
    <row r="234" spans="2:12" x14ac:dyDescent="0.25">
      <c r="C234" s="1" t="s">
        <v>23</v>
      </c>
      <c r="D234" s="1"/>
      <c r="E234" s="1"/>
      <c r="F234" s="2">
        <f>SUM(F222:F233)</f>
        <v>27770</v>
      </c>
      <c r="G234" s="1"/>
      <c r="H234" s="2">
        <f>SUM(H222:H233)</f>
        <v>28166</v>
      </c>
      <c r="I234" s="1"/>
      <c r="J234" s="2">
        <f>SUM(J222:J233)</f>
        <v>23573.88</v>
      </c>
      <c r="K234" s="2"/>
      <c r="L234" s="2"/>
    </row>
    <row r="235" spans="2:12" x14ac:dyDescent="0.25">
      <c r="C235" s="1" t="s">
        <v>88</v>
      </c>
      <c r="D235" s="1"/>
      <c r="E235" s="1"/>
      <c r="F235" s="2">
        <f>F225*1.1*0.515+F233*0.515</f>
        <v>11948</v>
      </c>
      <c r="G235" s="1"/>
      <c r="H235" s="2">
        <f>H225*1.1*0.515+H233*0.515</f>
        <v>12151.940000000002</v>
      </c>
      <c r="I235" s="1"/>
      <c r="J235" s="2">
        <f>J225*1.1*0.515+J233*0.515</f>
        <v>9786.9982000000018</v>
      </c>
      <c r="K235" s="2"/>
      <c r="L235" s="2"/>
    </row>
    <row r="236" spans="2:12" x14ac:dyDescent="0.25">
      <c r="C236" s="1" t="s">
        <v>89</v>
      </c>
      <c r="D236" s="1"/>
      <c r="E236" s="1"/>
      <c r="F236" s="2">
        <v>0</v>
      </c>
      <c r="G236" s="1"/>
      <c r="H236" s="2">
        <v>0</v>
      </c>
      <c r="I236" s="1"/>
      <c r="J236" s="2">
        <v>0</v>
      </c>
      <c r="K236" s="2"/>
      <c r="L236" s="2"/>
    </row>
    <row r="237" spans="2:12" x14ac:dyDescent="0.25">
      <c r="C237" s="1" t="s">
        <v>24</v>
      </c>
      <c r="D237" s="1"/>
      <c r="F237" s="2">
        <f>SUM(F234:F236)</f>
        <v>39718</v>
      </c>
      <c r="G237" s="1"/>
      <c r="H237" s="2">
        <f>SUM(H234:H236)</f>
        <v>40317.94</v>
      </c>
      <c r="J237" s="2">
        <f>SUM(J234:J236)</f>
        <v>33360.878200000006</v>
      </c>
      <c r="K237" s="2"/>
      <c r="L237" s="2"/>
    </row>
    <row r="238" spans="2:12" x14ac:dyDescent="0.25">
      <c r="C238" s="1"/>
      <c r="D238" s="1"/>
      <c r="E238" s="1"/>
      <c r="F238" s="2"/>
      <c r="G238" s="3"/>
      <c r="H238" s="2"/>
      <c r="I238" s="2"/>
      <c r="J238" s="2"/>
      <c r="K238" s="2"/>
      <c r="L238" s="2"/>
    </row>
    <row r="239" spans="2:12" x14ac:dyDescent="0.25">
      <c r="C239" s="1"/>
      <c r="D239" s="1"/>
      <c r="E239" s="1"/>
      <c r="F239" s="2"/>
      <c r="G239" s="2"/>
      <c r="H239" s="2"/>
      <c r="I239" s="2"/>
      <c r="J239" s="2"/>
      <c r="K239" s="2"/>
      <c r="L239" s="2"/>
    </row>
    <row r="240" spans="2:12" x14ac:dyDescent="0.25">
      <c r="B240" s="1" t="s">
        <v>102</v>
      </c>
      <c r="C240" s="25" t="s">
        <v>75</v>
      </c>
      <c r="D240" s="23"/>
      <c r="E240" s="25" t="s">
        <v>36</v>
      </c>
      <c r="F240" s="23" t="s">
        <v>2</v>
      </c>
      <c r="G240" s="25" t="s">
        <v>37</v>
      </c>
      <c r="H240" s="23" t="s">
        <v>3</v>
      </c>
      <c r="I240" s="25" t="s">
        <v>38</v>
      </c>
      <c r="J240" s="23" t="s">
        <v>4</v>
      </c>
      <c r="K240" s="2"/>
      <c r="L240" s="2"/>
    </row>
    <row r="241" spans="3:12" x14ac:dyDescent="0.25">
      <c r="C241" s="25" t="s">
        <v>17</v>
      </c>
      <c r="D241" s="23"/>
      <c r="E241" s="25">
        <v>0</v>
      </c>
      <c r="F241" s="24">
        <v>0</v>
      </c>
      <c r="G241" s="25">
        <v>0</v>
      </c>
      <c r="H241" s="24">
        <v>0</v>
      </c>
      <c r="I241" s="25">
        <v>0</v>
      </c>
      <c r="J241" s="24">
        <v>0</v>
      </c>
      <c r="K241" s="2"/>
      <c r="L241" s="2"/>
    </row>
    <row r="242" spans="3:12" x14ac:dyDescent="0.25">
      <c r="C242" s="25" t="s">
        <v>18</v>
      </c>
      <c r="D242" s="23" t="s">
        <v>85</v>
      </c>
      <c r="E242" s="25">
        <v>0</v>
      </c>
      <c r="F242" s="24">
        <v>0</v>
      </c>
      <c r="G242" s="25">
        <v>0</v>
      </c>
      <c r="H242" s="24">
        <v>0</v>
      </c>
      <c r="I242" s="25">
        <v>0</v>
      </c>
      <c r="J242" s="24">
        <v>0</v>
      </c>
      <c r="K242" s="2"/>
      <c r="L242" s="2"/>
    </row>
    <row r="243" spans="3:12" x14ac:dyDescent="0.25">
      <c r="C243" s="25" t="s">
        <v>18</v>
      </c>
      <c r="D243" s="23" t="s">
        <v>86</v>
      </c>
      <c r="E243" s="25">
        <v>0</v>
      </c>
      <c r="F243" s="24">
        <v>0</v>
      </c>
      <c r="G243" s="25">
        <v>0</v>
      </c>
      <c r="H243" s="24">
        <v>0</v>
      </c>
      <c r="I243" s="25">
        <v>0</v>
      </c>
      <c r="J243" s="24">
        <v>0</v>
      </c>
      <c r="K243" s="2"/>
      <c r="L243" s="2"/>
    </row>
    <row r="244" spans="3:12" x14ac:dyDescent="0.25">
      <c r="C244" s="25" t="s">
        <v>19</v>
      </c>
      <c r="D244" s="23" t="s">
        <v>85</v>
      </c>
      <c r="E244" s="25">
        <v>0</v>
      </c>
      <c r="F244" s="24">
        <v>0</v>
      </c>
      <c r="G244" s="25">
        <v>0</v>
      </c>
      <c r="H244" s="24">
        <v>0</v>
      </c>
      <c r="I244" s="25">
        <v>0</v>
      </c>
      <c r="J244" s="24">
        <v>0</v>
      </c>
      <c r="K244" s="2"/>
      <c r="L244" s="2"/>
    </row>
    <row r="245" spans="3:12" x14ac:dyDescent="0.25">
      <c r="C245" s="25" t="s">
        <v>19</v>
      </c>
      <c r="D245" s="23" t="s">
        <v>86</v>
      </c>
      <c r="E245" s="25">
        <v>0</v>
      </c>
      <c r="F245" s="24">
        <v>0</v>
      </c>
      <c r="G245" s="25">
        <v>0</v>
      </c>
      <c r="H245" s="24">
        <v>0</v>
      </c>
      <c r="I245" s="25">
        <v>0</v>
      </c>
      <c r="J245" s="24">
        <v>0</v>
      </c>
      <c r="K245" s="2"/>
      <c r="L245" s="2"/>
    </row>
    <row r="246" spans="3:12" x14ac:dyDescent="0.25">
      <c r="C246" s="25" t="s">
        <v>84</v>
      </c>
      <c r="D246" s="23" t="s">
        <v>85</v>
      </c>
      <c r="E246" s="25">
        <v>0</v>
      </c>
      <c r="F246" s="24">
        <v>0</v>
      </c>
      <c r="G246" s="25">
        <v>0</v>
      </c>
      <c r="H246" s="24">
        <v>0</v>
      </c>
      <c r="I246" s="25">
        <v>0</v>
      </c>
      <c r="J246" s="24">
        <v>0</v>
      </c>
      <c r="K246" s="2"/>
      <c r="L246" s="2"/>
    </row>
    <row r="247" spans="3:12" x14ac:dyDescent="0.25">
      <c r="C247" s="25" t="s">
        <v>84</v>
      </c>
      <c r="D247" s="23" t="s">
        <v>86</v>
      </c>
      <c r="E247" s="25">
        <v>2</v>
      </c>
      <c r="F247" s="24">
        <f>E247*B25</f>
        <v>10000</v>
      </c>
      <c r="G247" s="25">
        <v>2</v>
      </c>
      <c r="H247" s="24">
        <f>G247*B25</f>
        <v>10000</v>
      </c>
      <c r="I247" s="25">
        <v>2</v>
      </c>
      <c r="J247" s="24">
        <f>I247*B25</f>
        <v>10000</v>
      </c>
      <c r="K247" s="2"/>
      <c r="L247" s="2"/>
    </row>
    <row r="248" spans="3:12" x14ac:dyDescent="0.25">
      <c r="C248" s="25" t="s">
        <v>44</v>
      </c>
      <c r="D248" s="23"/>
      <c r="E248" s="25"/>
      <c r="F248" s="24">
        <f>F247*0.085</f>
        <v>850.00000000000011</v>
      </c>
      <c r="G248" s="25"/>
      <c r="H248" s="24">
        <f>H247*0.085</f>
        <v>850.00000000000011</v>
      </c>
      <c r="I248" s="25"/>
      <c r="J248" s="24">
        <f>J247*0.085</f>
        <v>850.00000000000011</v>
      </c>
      <c r="K248" s="2"/>
      <c r="L248" s="2"/>
    </row>
    <row r="249" spans="3:12" x14ac:dyDescent="0.25">
      <c r="C249" s="25" t="s">
        <v>20</v>
      </c>
      <c r="D249" s="23"/>
      <c r="E249" s="25"/>
      <c r="F249" s="24">
        <v>0</v>
      </c>
      <c r="G249" s="25"/>
      <c r="H249" s="24">
        <v>0</v>
      </c>
      <c r="I249" s="25"/>
      <c r="J249" s="24">
        <v>0</v>
      </c>
      <c r="K249" s="2"/>
      <c r="L249" s="2"/>
    </row>
    <row r="250" spans="3:12" x14ac:dyDescent="0.25">
      <c r="C250" s="25" t="s">
        <v>35</v>
      </c>
      <c r="D250" s="23"/>
      <c r="E250" s="25"/>
      <c r="F250" s="24">
        <v>0</v>
      </c>
      <c r="G250" s="25"/>
      <c r="H250" s="24">
        <v>0</v>
      </c>
      <c r="I250" s="25"/>
      <c r="J250" s="24">
        <v>0</v>
      </c>
      <c r="K250" s="2"/>
      <c r="L250" s="2"/>
    </row>
    <row r="251" spans="3:12" x14ac:dyDescent="0.25">
      <c r="C251" s="25" t="s">
        <v>21</v>
      </c>
      <c r="D251" s="23"/>
      <c r="E251" s="25"/>
      <c r="F251" s="24">
        <v>0</v>
      </c>
      <c r="G251" s="25"/>
      <c r="H251" s="24">
        <v>0</v>
      </c>
      <c r="I251" s="25"/>
      <c r="J251" s="24">
        <v>0</v>
      </c>
      <c r="K251" s="2"/>
      <c r="L251" s="2"/>
    </row>
    <row r="252" spans="3:12" x14ac:dyDescent="0.25">
      <c r="C252" s="25" t="s">
        <v>22</v>
      </c>
      <c r="D252" s="23"/>
      <c r="E252" s="25"/>
      <c r="F252" s="24">
        <v>0</v>
      </c>
      <c r="G252" s="25"/>
      <c r="H252" s="24">
        <v>0</v>
      </c>
      <c r="I252" s="25"/>
      <c r="J252" s="24">
        <v>0</v>
      </c>
      <c r="K252" s="2"/>
      <c r="L252" s="2"/>
    </row>
    <row r="253" spans="3:12" x14ac:dyDescent="0.25">
      <c r="C253" s="25" t="s">
        <v>23</v>
      </c>
      <c r="D253" s="23"/>
      <c r="E253" s="25"/>
      <c r="F253" s="2">
        <f>SUM(F241:F252)</f>
        <v>10850</v>
      </c>
      <c r="G253" s="1"/>
      <c r="H253" s="2">
        <f>SUM(H241:H252)</f>
        <v>10850</v>
      </c>
      <c r="I253" s="1"/>
      <c r="J253" s="2">
        <f>SUM(J241:J252)</f>
        <v>10850</v>
      </c>
      <c r="K253" s="2"/>
      <c r="L253" s="2"/>
    </row>
    <row r="254" spans="3:12" x14ac:dyDescent="0.25">
      <c r="C254" s="25" t="s">
        <v>88</v>
      </c>
      <c r="D254" s="23"/>
      <c r="E254" s="25"/>
      <c r="F254" s="2">
        <f>F244*1.1*0.515+F247*1.3*0.515+F252*0.515</f>
        <v>6695</v>
      </c>
      <c r="G254" s="1"/>
      <c r="H254" s="2">
        <f>H244*1.1*0.515+H247*1.3*0.515+H252*0.515</f>
        <v>6695</v>
      </c>
      <c r="I254" s="1"/>
      <c r="J254" s="2">
        <f>J244*1.1*0.515+J247*1.3*0.515+J252*0.515</f>
        <v>6695</v>
      </c>
      <c r="K254" s="2"/>
      <c r="L254" s="2"/>
    </row>
    <row r="255" spans="3:12" x14ac:dyDescent="0.25">
      <c r="C255" s="25" t="s">
        <v>89</v>
      </c>
      <c r="D255" s="23"/>
      <c r="E255" s="25"/>
      <c r="F255" s="2">
        <v>0</v>
      </c>
      <c r="G255" s="1"/>
      <c r="H255" s="2">
        <v>0</v>
      </c>
      <c r="I255" s="1"/>
      <c r="J255" s="2">
        <v>0</v>
      </c>
      <c r="K255" s="2"/>
      <c r="L255" s="2"/>
    </row>
    <row r="256" spans="3:12" x14ac:dyDescent="0.25">
      <c r="C256" s="25" t="s">
        <v>24</v>
      </c>
      <c r="D256" s="23"/>
      <c r="E256" s="23"/>
      <c r="F256" s="2">
        <f>SUM(F253:F255)</f>
        <v>17545</v>
      </c>
      <c r="G256" s="1"/>
      <c r="H256" s="2">
        <f>SUM(H253:H255)</f>
        <v>17545</v>
      </c>
      <c r="I256" s="1"/>
      <c r="J256" s="2">
        <f>SUM(J253:J255)</f>
        <v>17545</v>
      </c>
      <c r="K256" s="2"/>
      <c r="L256" s="2"/>
    </row>
    <row r="257" spans="1:12" x14ac:dyDescent="0.25">
      <c r="C257" s="1"/>
      <c r="D257" s="1"/>
      <c r="E257" s="1"/>
      <c r="F257" s="2"/>
      <c r="G257" s="2"/>
      <c r="H257" s="2"/>
      <c r="I257" s="2"/>
      <c r="J257" s="2"/>
      <c r="K257" s="2"/>
      <c r="L257" s="2"/>
    </row>
    <row r="258" spans="1:12" x14ac:dyDescent="0.25">
      <c r="C258" s="1"/>
      <c r="D258" s="1"/>
      <c r="E258" s="1"/>
      <c r="F258" s="2"/>
      <c r="G258" s="2"/>
      <c r="H258" s="2"/>
      <c r="I258" s="2"/>
      <c r="J258" s="2"/>
      <c r="K258" s="2"/>
      <c r="L258" s="2"/>
    </row>
    <row r="259" spans="1:12" x14ac:dyDescent="0.25">
      <c r="C259" s="1"/>
      <c r="D259" s="1"/>
      <c r="E259" s="1"/>
      <c r="F259" s="2"/>
      <c r="G259" s="2"/>
      <c r="H259" s="2"/>
      <c r="I259" s="2"/>
      <c r="J259" s="2"/>
      <c r="K259" s="2"/>
      <c r="L259" s="2"/>
    </row>
    <row r="260" spans="1:12" x14ac:dyDescent="0.25">
      <c r="C260" s="1"/>
      <c r="D260" s="1"/>
      <c r="E260" s="1"/>
      <c r="F260" s="2"/>
      <c r="G260" s="2"/>
      <c r="H260" s="2"/>
      <c r="I260" s="2"/>
      <c r="J260" s="2"/>
      <c r="K260" s="2"/>
      <c r="L260" s="2"/>
    </row>
    <row r="261" spans="1:12" x14ac:dyDescent="0.25">
      <c r="C261" s="1"/>
      <c r="D261" s="1"/>
      <c r="E261" s="1"/>
      <c r="F261" s="2"/>
      <c r="G261" s="2"/>
      <c r="H261" s="2"/>
      <c r="I261" s="2"/>
      <c r="J261" s="2"/>
      <c r="K261" s="2"/>
      <c r="L261" s="2"/>
    </row>
    <row r="262" spans="1:12" x14ac:dyDescent="0.25">
      <c r="C262" s="1"/>
      <c r="D262" s="1"/>
      <c r="E262" s="1"/>
      <c r="F262" s="2"/>
      <c r="G262" s="2"/>
      <c r="H262" s="2"/>
      <c r="I262" s="2"/>
      <c r="J262" s="2"/>
      <c r="K262" s="2"/>
      <c r="L262" s="2"/>
    </row>
    <row r="264" spans="1:12" x14ac:dyDescent="0.25">
      <c r="A264" s="1" t="s">
        <v>24</v>
      </c>
      <c r="B264" s="1" t="s">
        <v>39</v>
      </c>
      <c r="C264" s="19" t="s">
        <v>40</v>
      </c>
      <c r="D264" s="1" t="s">
        <v>41</v>
      </c>
      <c r="E264" s="1" t="s">
        <v>42</v>
      </c>
      <c r="F264" s="1" t="s">
        <v>43</v>
      </c>
      <c r="G264" s="1" t="s">
        <v>44</v>
      </c>
      <c r="H264" s="1" t="s">
        <v>45</v>
      </c>
    </row>
    <row r="265" spans="1:12" x14ac:dyDescent="0.25">
      <c r="B265" s="1"/>
      <c r="C265" s="1"/>
      <c r="D265" s="1" t="s">
        <v>46</v>
      </c>
      <c r="E265" s="3">
        <f t="shared" ref="E265:E273" si="14">B15</f>
        <v>14154</v>
      </c>
      <c r="F265" s="8">
        <f>F38</f>
        <v>28308</v>
      </c>
      <c r="G265" s="8">
        <f>F265*0.3</f>
        <v>8492.4</v>
      </c>
      <c r="H265" s="8">
        <f>F265+G265</f>
        <v>36800.400000000001</v>
      </c>
    </row>
    <row r="266" spans="1:12" x14ac:dyDescent="0.25">
      <c r="B266" s="1"/>
      <c r="C266" s="1"/>
      <c r="D266" s="1" t="s">
        <v>47</v>
      </c>
      <c r="E266" s="3">
        <f t="shared" si="14"/>
        <v>16509</v>
      </c>
      <c r="F266" s="8">
        <f>F68</f>
        <v>33018</v>
      </c>
      <c r="G266" s="8">
        <f t="shared" ref="G266:G273" si="15">F266*0.3</f>
        <v>9905.4</v>
      </c>
      <c r="H266" s="8">
        <f t="shared" ref="H266:H273" si="16">F266+G266</f>
        <v>42923.4</v>
      </c>
    </row>
    <row r="267" spans="1:12" x14ac:dyDescent="0.25">
      <c r="B267" s="1"/>
      <c r="C267" s="1"/>
      <c r="D267" s="1" t="s">
        <v>48</v>
      </c>
      <c r="E267" s="1">
        <f t="shared" si="14"/>
        <v>12294</v>
      </c>
      <c r="F267" s="8">
        <f>F87+F106</f>
        <v>24588</v>
      </c>
      <c r="G267" s="8">
        <f t="shared" si="15"/>
        <v>7376.4</v>
      </c>
      <c r="H267" s="8">
        <f t="shared" si="16"/>
        <v>31964.400000000001</v>
      </c>
    </row>
    <row r="268" spans="1:12" x14ac:dyDescent="0.25">
      <c r="B268" s="1"/>
      <c r="C268" s="1"/>
      <c r="D268" s="1" t="s">
        <v>49</v>
      </c>
      <c r="E268" s="1">
        <f t="shared" si="14"/>
        <v>13512</v>
      </c>
      <c r="F268" s="8">
        <f>F126</f>
        <v>27024</v>
      </c>
      <c r="G268" s="8">
        <f t="shared" si="15"/>
        <v>8107.2</v>
      </c>
      <c r="H268" s="8">
        <f t="shared" si="16"/>
        <v>35131.199999999997</v>
      </c>
    </row>
    <row r="269" spans="1:12" x14ac:dyDescent="0.25">
      <c r="B269" s="1"/>
      <c r="C269" s="1"/>
      <c r="D269" s="1" t="s">
        <v>50</v>
      </c>
      <c r="E269" s="1">
        <f t="shared" si="14"/>
        <v>10333</v>
      </c>
      <c r="F269" s="8">
        <f>F145</f>
        <v>20666</v>
      </c>
      <c r="G269" s="8">
        <f t="shared" si="15"/>
        <v>6199.8</v>
      </c>
      <c r="H269" s="8">
        <f t="shared" si="16"/>
        <v>26865.8</v>
      </c>
    </row>
    <row r="270" spans="1:12" x14ac:dyDescent="0.25">
      <c r="B270" s="1"/>
      <c r="C270" s="1"/>
      <c r="D270" s="1" t="s">
        <v>76</v>
      </c>
      <c r="E270" s="1">
        <f t="shared" si="14"/>
        <v>8545</v>
      </c>
      <c r="F270" s="8">
        <f>F165</f>
        <v>17090</v>
      </c>
      <c r="G270" s="8">
        <f t="shared" si="15"/>
        <v>5127</v>
      </c>
      <c r="H270" s="8">
        <f t="shared" si="16"/>
        <v>22217</v>
      </c>
    </row>
    <row r="271" spans="1:12" x14ac:dyDescent="0.25">
      <c r="B271" s="1"/>
      <c r="C271" s="1"/>
      <c r="D271" s="1" t="s">
        <v>77</v>
      </c>
      <c r="E271" s="1">
        <f t="shared" si="14"/>
        <v>9384</v>
      </c>
      <c r="F271" s="8">
        <f>F184+F203</f>
        <v>18768</v>
      </c>
      <c r="G271" s="8">
        <f t="shared" si="15"/>
        <v>5630.4</v>
      </c>
      <c r="H271" s="8">
        <f t="shared" si="16"/>
        <v>24398.400000000001</v>
      </c>
    </row>
    <row r="272" spans="1:12" x14ac:dyDescent="0.25">
      <c r="B272" s="1"/>
      <c r="C272" s="1"/>
      <c r="D272" s="1" t="s">
        <v>103</v>
      </c>
      <c r="E272" s="1">
        <f t="shared" si="14"/>
        <v>28650</v>
      </c>
      <c r="F272" s="8">
        <f>F241</f>
        <v>0</v>
      </c>
      <c r="G272" s="8">
        <f t="shared" si="15"/>
        <v>0</v>
      </c>
      <c r="H272" s="8">
        <f t="shared" si="16"/>
        <v>0</v>
      </c>
    </row>
    <row r="273" spans="2:8" x14ac:dyDescent="0.25">
      <c r="B273" s="1"/>
      <c r="C273" s="1"/>
      <c r="D273" s="1" t="s">
        <v>104</v>
      </c>
      <c r="E273" s="1">
        <f t="shared" si="14"/>
        <v>9444</v>
      </c>
      <c r="F273" s="8">
        <f>F222</f>
        <v>0</v>
      </c>
      <c r="G273" s="8">
        <f t="shared" si="15"/>
        <v>0</v>
      </c>
      <c r="H273" s="8">
        <f t="shared" si="16"/>
        <v>0</v>
      </c>
    </row>
    <row r="274" spans="2:8" x14ac:dyDescent="0.25">
      <c r="B274" s="1"/>
      <c r="C274" s="1"/>
      <c r="D274" s="1"/>
      <c r="E274" s="1"/>
      <c r="F274" s="3"/>
      <c r="G274" s="1" t="s">
        <v>56</v>
      </c>
      <c r="H274" s="8">
        <f>SUM(H265:H273)</f>
        <v>220300.6</v>
      </c>
    </row>
    <row r="275" spans="2:8" x14ac:dyDescent="0.25">
      <c r="C275" t="s">
        <v>26</v>
      </c>
      <c r="E275" s="1"/>
      <c r="H275" s="3"/>
    </row>
    <row r="276" spans="2:8" x14ac:dyDescent="0.25">
      <c r="C276" s="7">
        <f>E39+E40+E69+E70+E88+E89+E107+E108+E127+E128+E146+E147+E166+E167+E185+E186+E204+E205+E242+E243+E223+E224</f>
        <v>5.0999999999999996</v>
      </c>
      <c r="D276" s="1" t="s">
        <v>18</v>
      </c>
      <c r="E276" s="1">
        <f>B27</f>
        <v>54000</v>
      </c>
      <c r="F276" s="9">
        <f>C276*E276</f>
        <v>275400</v>
      </c>
      <c r="G276" s="9">
        <f>F276*0.3</f>
        <v>82620</v>
      </c>
      <c r="H276" s="8">
        <f>F276+G276</f>
        <v>358020</v>
      </c>
    </row>
    <row r="277" spans="2:8" x14ac:dyDescent="0.25">
      <c r="C277" s="7">
        <f>E41+E42+E71+E72+E90+E91+E109+E110+E129+E130+E148+E149+E168+E169+E187+E188+E206+E207+E244+E245+E225+E226</f>
        <v>7</v>
      </c>
      <c r="D277" s="1" t="s">
        <v>19</v>
      </c>
      <c r="E277" s="1">
        <f>B28</f>
        <v>24000</v>
      </c>
      <c r="F277" s="9">
        <f>C277*E277</f>
        <v>168000</v>
      </c>
      <c r="G277" s="9">
        <f>F277*0.1</f>
        <v>16800</v>
      </c>
      <c r="H277" s="8">
        <f>F277+G277</f>
        <v>184800</v>
      </c>
    </row>
    <row r="278" spans="2:8" x14ac:dyDescent="0.25">
      <c r="C278" s="7">
        <f>E43+E44+E73+E74+E92+E93+E111+E112+E131+E132+E150+E151+E170+E171+E189+E190+E208+E209+E246+E247+E227+E228</f>
        <v>9</v>
      </c>
      <c r="D278" s="1" t="s">
        <v>84</v>
      </c>
      <c r="E278" s="1">
        <f>B25</f>
        <v>5000</v>
      </c>
      <c r="F278" s="9">
        <f>C278*E278</f>
        <v>45000</v>
      </c>
      <c r="G278" s="9">
        <f>F278*0.085</f>
        <v>3825.0000000000005</v>
      </c>
      <c r="H278" s="8">
        <f>F278+G278</f>
        <v>48825</v>
      </c>
    </row>
    <row r="279" spans="2:8" x14ac:dyDescent="0.25">
      <c r="C279" s="7">
        <f>SUM(C276:C278)</f>
        <v>21.1</v>
      </c>
      <c r="E279" s="1"/>
      <c r="G279" t="s">
        <v>57</v>
      </c>
      <c r="H279" s="8">
        <f>SUM(H276:H278)</f>
        <v>591645</v>
      </c>
    </row>
    <row r="280" spans="2:8" x14ac:dyDescent="0.25">
      <c r="E280" s="1"/>
      <c r="G280" t="s">
        <v>59</v>
      </c>
      <c r="H280" s="3">
        <f>SUM(G265:G273)+SUM(G276:G278)</f>
        <v>154083.6</v>
      </c>
    </row>
    <row r="281" spans="2:8" x14ac:dyDescent="0.25">
      <c r="D281" s="1" t="s">
        <v>20</v>
      </c>
      <c r="E281" s="3">
        <f>F50+F76+F95+F114+F134+F153+F173+F192+F211+F249+F230</f>
        <v>83500</v>
      </c>
    </row>
    <row r="282" spans="2:8" x14ac:dyDescent="0.25">
      <c r="D282" s="1" t="s">
        <v>30</v>
      </c>
      <c r="E282" s="3">
        <f>F51+F77+F96+F115+F135+F154+F174+F193</f>
        <v>83670</v>
      </c>
      <c r="G282" s="1" t="s">
        <v>53</v>
      </c>
      <c r="H282" s="8">
        <f>E281+E282</f>
        <v>167170</v>
      </c>
    </row>
    <row r="283" spans="2:8" x14ac:dyDescent="0.25">
      <c r="D283" s="1" t="s">
        <v>21</v>
      </c>
      <c r="E283" s="3">
        <f>F52+F78+F97+F116+F136+F155+F175+F194+F213+F251+F232</f>
        <v>63980</v>
      </c>
      <c r="H283" s="8">
        <f>E283</f>
        <v>63980</v>
      </c>
    </row>
    <row r="284" spans="2:8" x14ac:dyDescent="0.25">
      <c r="D284" s="1" t="s">
        <v>22</v>
      </c>
      <c r="E284" s="3">
        <f>F53+F79+F98+F117+F137+F156+F176+F195+F214+F252+F233</f>
        <v>36000</v>
      </c>
      <c r="H284" s="8">
        <f>E284</f>
        <v>36000</v>
      </c>
    </row>
    <row r="285" spans="2:8" x14ac:dyDescent="0.25">
      <c r="D285" s="1" t="s">
        <v>78</v>
      </c>
      <c r="E285" s="3">
        <f>F118</f>
        <v>0</v>
      </c>
      <c r="H285" s="8">
        <f>E285</f>
        <v>0</v>
      </c>
    </row>
    <row r="286" spans="2:8" x14ac:dyDescent="0.25">
      <c r="D286" s="1" t="s">
        <v>51</v>
      </c>
      <c r="E286" s="3"/>
      <c r="H286" s="8">
        <f>H274+H279+H282+H283+H284+H285</f>
        <v>1079095.6000000001</v>
      </c>
    </row>
    <row r="287" spans="2:8" x14ac:dyDescent="0.25">
      <c r="D287" s="1" t="s">
        <v>54</v>
      </c>
      <c r="E287" s="3">
        <f>F57+F81+F100+F120+F139+F158+F178+F197+F216+F254+F235</f>
        <v>287293.05900000001</v>
      </c>
      <c r="H287" s="8">
        <f>E287</f>
        <v>287293.05900000001</v>
      </c>
    </row>
    <row r="288" spans="2:8" x14ac:dyDescent="0.25">
      <c r="D288" s="1" t="s">
        <v>55</v>
      </c>
      <c r="E288" s="3">
        <f>F58+F82+F101+F121+F140+F159+F179+F198+F217+F255+F236</f>
        <v>116847.90000000001</v>
      </c>
      <c r="H288" s="8">
        <f>E288</f>
        <v>116847.90000000001</v>
      </c>
    </row>
    <row r="289" spans="1:8" x14ac:dyDescent="0.25">
      <c r="D289" s="1" t="s">
        <v>52</v>
      </c>
      <c r="E289" s="3"/>
      <c r="H289" s="8">
        <f>SUM(H286:H288)</f>
        <v>1483236.5589999999</v>
      </c>
    </row>
    <row r="290" spans="1:8" x14ac:dyDescent="0.25">
      <c r="E290" s="1"/>
    </row>
    <row r="291" spans="1:8" x14ac:dyDescent="0.25">
      <c r="D291" s="1" t="s">
        <v>58</v>
      </c>
      <c r="E291" s="2"/>
    </row>
    <row r="294" spans="1:8" x14ac:dyDescent="0.25">
      <c r="A294" s="1" t="s">
        <v>24</v>
      </c>
      <c r="B294" s="1" t="s">
        <v>39</v>
      </c>
      <c r="C294" s="19" t="s">
        <v>60</v>
      </c>
      <c r="D294" s="1" t="s">
        <v>41</v>
      </c>
      <c r="E294" s="1" t="s">
        <v>42</v>
      </c>
      <c r="F294" s="1" t="s">
        <v>43</v>
      </c>
      <c r="G294" s="1" t="s">
        <v>44</v>
      </c>
      <c r="H294" s="1" t="s">
        <v>45</v>
      </c>
    </row>
    <row r="295" spans="1:8" x14ac:dyDescent="0.25">
      <c r="B295" s="1"/>
      <c r="C295" s="1"/>
      <c r="D295" s="1" t="s">
        <v>46</v>
      </c>
      <c r="E295" s="3">
        <f>B15*B26</f>
        <v>14578.62</v>
      </c>
      <c r="F295" s="8">
        <f>H38</f>
        <v>29157.24</v>
      </c>
      <c r="G295" s="8">
        <f>F295*0.3</f>
        <v>8747.1720000000005</v>
      </c>
      <c r="H295" s="8">
        <f>F295+G295</f>
        <v>37904.412000000004</v>
      </c>
    </row>
    <row r="296" spans="1:8" x14ac:dyDescent="0.25">
      <c r="B296" s="1"/>
      <c r="C296" s="1"/>
      <c r="D296" s="1" t="s">
        <v>47</v>
      </c>
      <c r="E296" s="3">
        <f>B16*B26</f>
        <v>17004.27</v>
      </c>
      <c r="F296" s="8">
        <f>H68</f>
        <v>34008.54</v>
      </c>
      <c r="G296" s="8">
        <f t="shared" ref="G296:G303" si="17">F296*0.3</f>
        <v>10202.562</v>
      </c>
      <c r="H296" s="8">
        <f t="shared" ref="H296:H303" si="18">F296+G296</f>
        <v>44211.101999999999</v>
      </c>
    </row>
    <row r="297" spans="1:8" x14ac:dyDescent="0.25">
      <c r="B297" s="1"/>
      <c r="C297" s="1"/>
      <c r="D297" s="1" t="s">
        <v>48</v>
      </c>
      <c r="E297" s="1">
        <f>B17*B26</f>
        <v>12662.82</v>
      </c>
      <c r="F297" s="8">
        <f>H87+H106</f>
        <v>25325.64</v>
      </c>
      <c r="G297" s="8">
        <f t="shared" si="17"/>
        <v>7597.6919999999991</v>
      </c>
      <c r="H297" s="8">
        <f t="shared" si="18"/>
        <v>32923.331999999995</v>
      </c>
    </row>
    <row r="298" spans="1:8" x14ac:dyDescent="0.25">
      <c r="B298" s="1"/>
      <c r="C298" s="1"/>
      <c r="D298" s="1" t="s">
        <v>49</v>
      </c>
      <c r="E298" s="1">
        <f>B18*B26</f>
        <v>13917.36</v>
      </c>
      <c r="F298" s="8">
        <f>H126</f>
        <v>27834.720000000001</v>
      </c>
      <c r="G298" s="8">
        <f t="shared" si="17"/>
        <v>8350.4159999999993</v>
      </c>
      <c r="H298" s="8">
        <f t="shared" si="18"/>
        <v>36185.135999999999</v>
      </c>
    </row>
    <row r="299" spans="1:8" x14ac:dyDescent="0.25">
      <c r="B299" s="1"/>
      <c r="C299" s="1"/>
      <c r="D299" s="1" t="s">
        <v>50</v>
      </c>
      <c r="E299" s="1">
        <f>B19*B26</f>
        <v>10642.99</v>
      </c>
      <c r="F299" s="8">
        <f>H145</f>
        <v>21285.98</v>
      </c>
      <c r="G299" s="8">
        <f t="shared" si="17"/>
        <v>6385.7939999999999</v>
      </c>
      <c r="H299" s="8">
        <f t="shared" si="18"/>
        <v>27671.773999999998</v>
      </c>
    </row>
    <row r="300" spans="1:8" x14ac:dyDescent="0.25">
      <c r="B300" s="1"/>
      <c r="C300" s="1"/>
      <c r="D300" s="1" t="s">
        <v>76</v>
      </c>
      <c r="E300" s="1">
        <f>B20*B26</f>
        <v>8801.35</v>
      </c>
      <c r="F300" s="8">
        <f>H165</f>
        <v>17602.7</v>
      </c>
      <c r="G300" s="8">
        <f t="shared" si="17"/>
        <v>5280.81</v>
      </c>
      <c r="H300" s="8">
        <f t="shared" si="18"/>
        <v>22883.510000000002</v>
      </c>
    </row>
    <row r="301" spans="1:8" x14ac:dyDescent="0.25">
      <c r="B301" s="1"/>
      <c r="C301" s="1"/>
      <c r="D301" s="1" t="s">
        <v>77</v>
      </c>
      <c r="E301" s="1">
        <f>B21*B26</f>
        <v>9665.52</v>
      </c>
      <c r="F301" s="8">
        <f>H184+H203</f>
        <v>19331.04</v>
      </c>
      <c r="G301" s="8">
        <f t="shared" si="17"/>
        <v>5799.3119999999999</v>
      </c>
      <c r="H301" s="8">
        <f t="shared" si="18"/>
        <v>25130.351999999999</v>
      </c>
    </row>
    <row r="302" spans="1:8" x14ac:dyDescent="0.25">
      <c r="B302" s="1"/>
      <c r="C302" s="1"/>
      <c r="D302" s="1" t="s">
        <v>103</v>
      </c>
      <c r="E302" s="1">
        <f>B22*B26</f>
        <v>29509.5</v>
      </c>
      <c r="F302" s="8">
        <f>H241</f>
        <v>0</v>
      </c>
      <c r="G302" s="8">
        <f t="shared" si="17"/>
        <v>0</v>
      </c>
      <c r="H302" s="8">
        <f t="shared" si="18"/>
        <v>0</v>
      </c>
    </row>
    <row r="303" spans="1:8" x14ac:dyDescent="0.25">
      <c r="B303" s="1"/>
      <c r="C303" s="1"/>
      <c r="D303" s="1" t="s">
        <v>104</v>
      </c>
      <c r="E303" s="1">
        <f>B23*B26</f>
        <v>9727.32</v>
      </c>
      <c r="F303" s="8">
        <f>H222</f>
        <v>0</v>
      </c>
      <c r="G303" s="8">
        <f t="shared" si="17"/>
        <v>0</v>
      </c>
      <c r="H303" s="8">
        <f t="shared" si="18"/>
        <v>0</v>
      </c>
    </row>
    <row r="304" spans="1:8" x14ac:dyDescent="0.25">
      <c r="B304" s="1"/>
      <c r="C304" s="1"/>
      <c r="D304" s="1"/>
      <c r="E304" s="1"/>
      <c r="F304" s="3"/>
      <c r="G304" s="1" t="s">
        <v>56</v>
      </c>
      <c r="H304" s="8">
        <f>SUM(H295:H303)</f>
        <v>226909.61800000002</v>
      </c>
    </row>
    <row r="305" spans="3:8" x14ac:dyDescent="0.25">
      <c r="C305" t="s">
        <v>26</v>
      </c>
      <c r="E305" s="1"/>
      <c r="H305" s="3"/>
    </row>
    <row r="306" spans="3:8" x14ac:dyDescent="0.25">
      <c r="C306" s="7">
        <f>G39+G40+G69+G70+G88+G89+G107+G108+G127+G128+G146+G147+G166+G167+G185+G186+G204+G205+G242+G243+G223+G224</f>
        <v>5.6</v>
      </c>
      <c r="D306" s="1" t="s">
        <v>18</v>
      </c>
      <c r="E306" s="1">
        <f>B27*B26</f>
        <v>55620</v>
      </c>
      <c r="F306" s="9">
        <f>C306*E306</f>
        <v>311472</v>
      </c>
      <c r="G306" s="9">
        <f>F306*0.3</f>
        <v>93441.599999999991</v>
      </c>
      <c r="H306" s="8">
        <f>F306+G306</f>
        <v>404913.6</v>
      </c>
    </row>
    <row r="307" spans="3:8" x14ac:dyDescent="0.25">
      <c r="C307" s="4">
        <f>G41+G42+G71+G72+G90+G91+G109+G110+G129+G130+G148+G149+G168+G169+G187+G188+G206+G207+G244+G245+G225+G226</f>
        <v>7</v>
      </c>
      <c r="D307" s="1" t="s">
        <v>19</v>
      </c>
      <c r="E307" s="1">
        <f>B28*B26</f>
        <v>24720</v>
      </c>
      <c r="F307" s="9">
        <f>C307*E307</f>
        <v>173040</v>
      </c>
      <c r="G307" s="9">
        <f>F307*0.1</f>
        <v>17304</v>
      </c>
      <c r="H307" s="8">
        <f>F307+G307</f>
        <v>190344</v>
      </c>
    </row>
    <row r="308" spans="3:8" x14ac:dyDescent="0.25">
      <c r="C308" s="7">
        <f>G43+G44+G73+G74+G92+G93+G111+G112+G131+G132+G150+G151+G170+G171+G189+G190+G208+G209+G246+G247+G227+G228</f>
        <v>9</v>
      </c>
      <c r="D308" s="1" t="s">
        <v>84</v>
      </c>
      <c r="E308" s="1">
        <f>B25</f>
        <v>5000</v>
      </c>
      <c r="F308" s="9">
        <f>C308*E308</f>
        <v>45000</v>
      </c>
      <c r="G308" s="9">
        <f>F308*0.085</f>
        <v>3825.0000000000005</v>
      </c>
      <c r="H308" s="8">
        <f>F308+G308</f>
        <v>48825</v>
      </c>
    </row>
    <row r="309" spans="3:8" x14ac:dyDescent="0.25">
      <c r="C309" s="7">
        <f>SUM(C306:C308)</f>
        <v>21.6</v>
      </c>
      <c r="E309" s="1"/>
      <c r="G309" t="s">
        <v>57</v>
      </c>
      <c r="H309" s="8">
        <f>SUM(H306:H308)</f>
        <v>644082.6</v>
      </c>
    </row>
    <row r="310" spans="3:8" x14ac:dyDescent="0.25">
      <c r="E310" s="1"/>
      <c r="G310" t="s">
        <v>59</v>
      </c>
      <c r="H310" s="3">
        <f>SUM(G295:G303)+SUM(G306:G308)</f>
        <v>166934.35799999998</v>
      </c>
    </row>
    <row r="311" spans="3:8" x14ac:dyDescent="0.25">
      <c r="D311" s="1" t="s">
        <v>20</v>
      </c>
      <c r="E311" s="3">
        <f>H50+H76+H95+H114+H134+H153+H173+H192+H211+H249+H230</f>
        <v>83500</v>
      </c>
    </row>
    <row r="312" spans="3:8" x14ac:dyDescent="0.25">
      <c r="D312" s="1" t="s">
        <v>30</v>
      </c>
      <c r="E312" s="3">
        <f>H51+H77+H96+H115+H135+H154+H174+H193</f>
        <v>100920</v>
      </c>
      <c r="G312" s="1" t="s">
        <v>53</v>
      </c>
      <c r="H312" s="8">
        <f>E311+E312</f>
        <v>184420</v>
      </c>
    </row>
    <row r="313" spans="3:8" x14ac:dyDescent="0.25">
      <c r="D313" s="1" t="s">
        <v>21</v>
      </c>
      <c r="E313" s="3">
        <f>H52+H78+H97+H116+H136+H155+H175+H194+H213+H251+H232</f>
        <v>63980</v>
      </c>
      <c r="H313" s="8">
        <f>E313</f>
        <v>63980</v>
      </c>
    </row>
    <row r="314" spans="3:8" x14ac:dyDescent="0.25">
      <c r="D314" s="1" t="s">
        <v>22</v>
      </c>
      <c r="E314" s="3">
        <f>H53+H79+H98+H117+H137+H156+H176+H195+H214+H252+H233</f>
        <v>36000</v>
      </c>
      <c r="H314" s="8">
        <f>E314</f>
        <v>36000</v>
      </c>
    </row>
    <row r="315" spans="3:8" x14ac:dyDescent="0.25">
      <c r="D315" s="1" t="s">
        <v>78</v>
      </c>
      <c r="E315" s="3">
        <f>H118</f>
        <v>0</v>
      </c>
      <c r="H315" s="8">
        <f>E315</f>
        <v>0</v>
      </c>
    </row>
    <row r="316" spans="3:8" x14ac:dyDescent="0.25">
      <c r="D316" s="1" t="s">
        <v>51</v>
      </c>
      <c r="E316" s="3"/>
      <c r="H316" s="8">
        <f>H304+H309+H312+H313+H314+H315</f>
        <v>1155392.2179999999</v>
      </c>
    </row>
    <row r="317" spans="3:8" x14ac:dyDescent="0.25">
      <c r="D317" s="1" t="s">
        <v>54</v>
      </c>
      <c r="E317" s="3">
        <f>H57+H81+H100+H120+H139+H158+H178+H197+H216+H254+H235</f>
        <v>275878.60827000008</v>
      </c>
      <c r="H317" s="8">
        <f>E317</f>
        <v>275878.60827000008</v>
      </c>
    </row>
    <row r="318" spans="3:8" x14ac:dyDescent="0.25">
      <c r="D318" s="1" t="s">
        <v>55</v>
      </c>
      <c r="E318" s="3">
        <f>H58+H82+H101+H121+H140+H159+H179+H198+H217+H255+H236</f>
        <v>142447.65600000002</v>
      </c>
      <c r="H318" s="8">
        <f>E318</f>
        <v>142447.65600000002</v>
      </c>
    </row>
    <row r="319" spans="3:8" x14ac:dyDescent="0.25">
      <c r="D319" s="1" t="s">
        <v>52</v>
      </c>
      <c r="E319" s="3"/>
      <c r="H319" s="8">
        <f>SUM(H316:H318)</f>
        <v>1573718.48227</v>
      </c>
    </row>
    <row r="320" spans="3:8" x14ac:dyDescent="0.25">
      <c r="E320" s="1"/>
    </row>
    <row r="321" spans="1:8" x14ac:dyDescent="0.25">
      <c r="D321" s="1" t="s">
        <v>58</v>
      </c>
      <c r="E321" s="2"/>
    </row>
    <row r="324" spans="1:8" x14ac:dyDescent="0.25">
      <c r="A324" s="1" t="s">
        <v>24</v>
      </c>
      <c r="B324" s="1" t="s">
        <v>39</v>
      </c>
      <c r="C324" s="19" t="s">
        <v>61</v>
      </c>
      <c r="D324" s="1" t="s">
        <v>41</v>
      </c>
      <c r="E324" s="1" t="s">
        <v>42</v>
      </c>
      <c r="F324" s="1" t="s">
        <v>43</v>
      </c>
      <c r="G324" s="1" t="s">
        <v>44</v>
      </c>
      <c r="H324" s="1" t="s">
        <v>45</v>
      </c>
    </row>
    <row r="325" spans="1:8" x14ac:dyDescent="0.25">
      <c r="B325" s="1"/>
      <c r="C325" s="1"/>
      <c r="D325" s="1" t="s">
        <v>46</v>
      </c>
      <c r="E325" s="3">
        <f>B15*B26*B26</f>
        <v>15015.9786</v>
      </c>
      <c r="F325" s="8">
        <f>J38</f>
        <v>30031.957200000001</v>
      </c>
      <c r="G325" s="8">
        <f>F325*0.3</f>
        <v>9009.5871599999991</v>
      </c>
      <c r="H325" s="8">
        <f>F325+G325</f>
        <v>39041.54436</v>
      </c>
    </row>
    <row r="326" spans="1:8" x14ac:dyDescent="0.25">
      <c r="B326" s="1"/>
      <c r="C326" s="1"/>
      <c r="D326" s="1" t="s">
        <v>47</v>
      </c>
      <c r="E326" s="3">
        <f>B16*B26*B26</f>
        <v>17514.398100000002</v>
      </c>
      <c r="F326" s="8">
        <f>J68</f>
        <v>35028.796200000004</v>
      </c>
      <c r="G326" s="8">
        <f t="shared" ref="G326:G333" si="19">F326*0.3</f>
        <v>10508.638860000001</v>
      </c>
      <c r="H326" s="8">
        <f t="shared" ref="H326:H333" si="20">F326+G326</f>
        <v>45537.435060000003</v>
      </c>
    </row>
    <row r="327" spans="1:8" x14ac:dyDescent="0.25">
      <c r="B327" s="1"/>
      <c r="C327" s="1"/>
      <c r="D327" s="1" t="s">
        <v>48</v>
      </c>
      <c r="E327" s="1">
        <f>B17*B26*B26</f>
        <v>13042.704600000001</v>
      </c>
      <c r="F327" s="8">
        <f>J87+J106</f>
        <v>26085.409200000002</v>
      </c>
      <c r="G327" s="8">
        <f t="shared" si="19"/>
        <v>7825.6227600000002</v>
      </c>
      <c r="H327" s="8">
        <f t="shared" si="20"/>
        <v>33911.03196</v>
      </c>
    </row>
    <row r="328" spans="1:8" x14ac:dyDescent="0.25">
      <c r="B328" s="1"/>
      <c r="C328" s="1"/>
      <c r="D328" s="1" t="s">
        <v>49</v>
      </c>
      <c r="E328" s="1">
        <f>B18*B26*B26</f>
        <v>14334.880800000001</v>
      </c>
      <c r="F328" s="8">
        <f>J126</f>
        <v>28669.761600000002</v>
      </c>
      <c r="G328" s="8">
        <f t="shared" si="19"/>
        <v>8600.9284800000005</v>
      </c>
      <c r="H328" s="8">
        <f t="shared" si="20"/>
        <v>37270.69008</v>
      </c>
    </row>
    <row r="329" spans="1:8" x14ac:dyDescent="0.25">
      <c r="B329" s="1"/>
      <c r="C329" s="1"/>
      <c r="D329" s="1" t="s">
        <v>50</v>
      </c>
      <c r="E329" s="1">
        <f>B19*B26*B26</f>
        <v>10962.279700000001</v>
      </c>
      <c r="F329" s="8">
        <f>J145</f>
        <v>21924.559400000002</v>
      </c>
      <c r="G329" s="8">
        <f t="shared" si="19"/>
        <v>6577.3678200000004</v>
      </c>
      <c r="H329" s="8">
        <f t="shared" si="20"/>
        <v>28501.927220000001</v>
      </c>
    </row>
    <row r="330" spans="1:8" x14ac:dyDescent="0.25">
      <c r="B330" s="1"/>
      <c r="C330" s="1"/>
      <c r="D330" s="1" t="s">
        <v>76</v>
      </c>
      <c r="E330" s="1">
        <f>B20*B26*B26</f>
        <v>9065.3905000000013</v>
      </c>
      <c r="F330" s="8">
        <f>J165</f>
        <v>18130.781000000003</v>
      </c>
      <c r="G330" s="8">
        <f t="shared" si="19"/>
        <v>5439.234300000001</v>
      </c>
      <c r="H330" s="8">
        <f t="shared" si="20"/>
        <v>23570.015300000003</v>
      </c>
    </row>
    <row r="331" spans="1:8" x14ac:dyDescent="0.25">
      <c r="B331" s="1"/>
      <c r="C331" s="1"/>
      <c r="D331" s="1" t="s">
        <v>77</v>
      </c>
      <c r="E331" s="1">
        <f>B21*B26*B26</f>
        <v>9955.4856</v>
      </c>
      <c r="F331" s="8">
        <f>J184+J203</f>
        <v>19910.9712</v>
      </c>
      <c r="G331" s="8">
        <f t="shared" si="19"/>
        <v>5973.2913600000002</v>
      </c>
      <c r="H331" s="8">
        <f t="shared" si="20"/>
        <v>25884.262559999999</v>
      </c>
    </row>
    <row r="332" spans="1:8" x14ac:dyDescent="0.25">
      <c r="B332" s="1"/>
      <c r="C332" s="1"/>
      <c r="D332" s="1" t="s">
        <v>103</v>
      </c>
      <c r="E332" s="1">
        <f>B22*B26*B26</f>
        <v>30394.785</v>
      </c>
      <c r="F332" s="8">
        <f>J241</f>
        <v>0</v>
      </c>
      <c r="G332" s="8">
        <f t="shared" si="19"/>
        <v>0</v>
      </c>
      <c r="H332" s="8">
        <f t="shared" si="20"/>
        <v>0</v>
      </c>
    </row>
    <row r="333" spans="1:8" x14ac:dyDescent="0.25">
      <c r="B333" s="1"/>
      <c r="C333" s="1"/>
      <c r="D333" s="1" t="s">
        <v>104</v>
      </c>
      <c r="E333" s="1">
        <f>B23*B26*B26</f>
        <v>10019.1396</v>
      </c>
      <c r="F333" s="8">
        <f>J222</f>
        <v>0</v>
      </c>
      <c r="G333" s="8">
        <f t="shared" si="19"/>
        <v>0</v>
      </c>
      <c r="H333" s="8">
        <f t="shared" si="20"/>
        <v>0</v>
      </c>
    </row>
    <row r="334" spans="1:8" x14ac:dyDescent="0.25">
      <c r="B334" s="1"/>
      <c r="C334" s="1"/>
      <c r="D334" s="1"/>
      <c r="E334" s="1"/>
      <c r="F334" s="3"/>
      <c r="G334" s="1" t="s">
        <v>56</v>
      </c>
      <c r="H334" s="8">
        <f>SUM(H325:H333)</f>
        <v>233716.90654000003</v>
      </c>
    </row>
    <row r="335" spans="1:8" x14ac:dyDescent="0.25">
      <c r="C335" t="s">
        <v>26</v>
      </c>
      <c r="E335" s="1"/>
      <c r="H335" s="3"/>
    </row>
    <row r="336" spans="1:8" x14ac:dyDescent="0.25">
      <c r="C336" s="7">
        <f>I39+I40+I69+I70+I88+I89+I107+I108+I127+I128+I146+I147+I166+I167+I185+I186+I204+I205+I242+I243+I223+I224</f>
        <v>5.6</v>
      </c>
      <c r="D336" s="1" t="s">
        <v>18</v>
      </c>
      <c r="E336" s="1">
        <f>B27*B26*B26</f>
        <v>57288.6</v>
      </c>
      <c r="F336" s="9">
        <f>C336*E336</f>
        <v>320816.15999999997</v>
      </c>
      <c r="G336" s="9">
        <f>F336*0.3</f>
        <v>96244.847999999984</v>
      </c>
      <c r="H336" s="8">
        <f>F336+G336</f>
        <v>417061.00799999997</v>
      </c>
    </row>
    <row r="337" spans="3:8" x14ac:dyDescent="0.25">
      <c r="C337" s="7">
        <f>I41+I42+I71+I72+I90+I91+I109+I110+I129+I130+I148+I149+I168+I169+I187+I188+I206+I207+I244+I245+I225+I226</f>
        <v>7.5</v>
      </c>
      <c r="D337" s="1" t="s">
        <v>19</v>
      </c>
      <c r="E337" s="1">
        <f>B28*B26*B26</f>
        <v>25461.600000000002</v>
      </c>
      <c r="F337" s="9">
        <f>C337*E337</f>
        <v>190962.00000000003</v>
      </c>
      <c r="G337" s="9">
        <f>F337*0.1</f>
        <v>19096.200000000004</v>
      </c>
      <c r="H337" s="8">
        <f>F337+G337</f>
        <v>210058.20000000004</v>
      </c>
    </row>
    <row r="338" spans="3:8" x14ac:dyDescent="0.25">
      <c r="C338" s="7">
        <f>I43+I44+I73+I74+I92+I93+I111+I112+I131+I132+I150+I151+I170+I171++I189+I190+I208+I209+I246+I247+I227+I228</f>
        <v>11</v>
      </c>
      <c r="D338" s="1" t="s">
        <v>84</v>
      </c>
      <c r="E338" s="1">
        <f>B25</f>
        <v>5000</v>
      </c>
      <c r="F338" s="9">
        <f>C338*E338</f>
        <v>55000</v>
      </c>
      <c r="G338" s="9">
        <f>F338*0.085</f>
        <v>4675</v>
      </c>
      <c r="H338" s="8">
        <f>F338+G338</f>
        <v>59675</v>
      </c>
    </row>
    <row r="339" spans="3:8" x14ac:dyDescent="0.25">
      <c r="C339" s="7">
        <f>SUM(C336:C338)</f>
        <v>24.1</v>
      </c>
      <c r="E339" s="1"/>
      <c r="G339" t="s">
        <v>57</v>
      </c>
      <c r="H339" s="8">
        <f>SUM(H336:H338)</f>
        <v>686794.20799999998</v>
      </c>
    </row>
    <row r="340" spans="3:8" x14ac:dyDescent="0.25">
      <c r="E340" s="1"/>
      <c r="G340" t="s">
        <v>59</v>
      </c>
      <c r="H340" s="3">
        <f>SUM(G325:G333)+SUM(G336:G338)</f>
        <v>173950.71873999998</v>
      </c>
    </row>
    <row r="341" spans="3:8" x14ac:dyDescent="0.25">
      <c r="D341" s="1" t="s">
        <v>20</v>
      </c>
      <c r="E341" s="3">
        <f>J50+J76+J95+J114+J134+J153+J173+J192+J211+J249+J230</f>
        <v>83500</v>
      </c>
    </row>
    <row r="342" spans="3:8" x14ac:dyDescent="0.25">
      <c r="D342" s="1" t="s">
        <v>30</v>
      </c>
      <c r="E342" s="3">
        <f>J51+J77+J96+J115+J135+J154+J174+J193</f>
        <v>114120</v>
      </c>
      <c r="G342" s="1" t="s">
        <v>53</v>
      </c>
      <c r="H342" s="8">
        <f>E341+E342</f>
        <v>197620</v>
      </c>
    </row>
    <row r="343" spans="3:8" x14ac:dyDescent="0.25">
      <c r="D343" s="1" t="s">
        <v>21</v>
      </c>
      <c r="E343" s="3">
        <f>J52+J78+J97+J116+J136+J155+J175+J194+J213+J251+J232</f>
        <v>68550</v>
      </c>
      <c r="H343" s="8">
        <f>E343</f>
        <v>68550</v>
      </c>
    </row>
    <row r="344" spans="3:8" x14ac:dyDescent="0.25">
      <c r="D344" s="1" t="s">
        <v>22</v>
      </c>
      <c r="E344" s="3">
        <f>J53+J79+J98+J117+J137+J156+J176+J195+J214+J252+J233</f>
        <v>31000</v>
      </c>
      <c r="H344" s="8">
        <f>E344</f>
        <v>31000</v>
      </c>
    </row>
    <row r="345" spans="3:8" x14ac:dyDescent="0.25">
      <c r="D345" s="1" t="s">
        <v>79</v>
      </c>
      <c r="E345" s="3">
        <f>J118</f>
        <v>0</v>
      </c>
      <c r="H345" s="8">
        <f>E345</f>
        <v>0</v>
      </c>
    </row>
    <row r="346" spans="3:8" x14ac:dyDescent="0.25">
      <c r="D346" s="1" t="s">
        <v>51</v>
      </c>
      <c r="E346" s="3"/>
      <c r="H346" s="8">
        <f>H334+H339+H342+H343+H344+H345</f>
        <v>1217681.11454</v>
      </c>
    </row>
    <row r="347" spans="3:8" x14ac:dyDescent="0.25">
      <c r="D347" s="1" t="s">
        <v>54</v>
      </c>
      <c r="E347" s="3">
        <f>J57+J81+J100+J120+J139+J158+J178+J197+J216+J254+J235</f>
        <v>259363.91196810003</v>
      </c>
      <c r="H347" s="8">
        <f>E347</f>
        <v>259363.91196810003</v>
      </c>
    </row>
    <row r="348" spans="3:8" x14ac:dyDescent="0.25">
      <c r="D348" s="1" t="s">
        <v>55</v>
      </c>
      <c r="E348" s="3">
        <f>J58+J82+J101+J121+J140+J159+J179+J198+J217+J255+J236</f>
        <v>165792.08568000002</v>
      </c>
      <c r="H348" s="8">
        <f>E348</f>
        <v>165792.08568000002</v>
      </c>
    </row>
    <row r="349" spans="3:8" x14ac:dyDescent="0.25">
      <c r="D349" s="1" t="s">
        <v>52</v>
      </c>
      <c r="E349" s="3"/>
      <c r="H349" s="8">
        <f>SUM(H346:H348)</f>
        <v>1642837.1121881001</v>
      </c>
    </row>
    <row r="350" spans="3:8" x14ac:dyDescent="0.25">
      <c r="E350" s="1"/>
    </row>
    <row r="351" spans="3:8" x14ac:dyDescent="0.25">
      <c r="D351" s="1" t="s">
        <v>58</v>
      </c>
      <c r="E351" s="2"/>
    </row>
    <row r="352" spans="3:8" x14ac:dyDescent="0.25">
      <c r="F352" t="s">
        <v>90</v>
      </c>
      <c r="H352" s="26">
        <f>H289+H319+H349</f>
        <v>4699792.1534580998</v>
      </c>
    </row>
    <row r="357" spans="1:10" x14ac:dyDescent="0.25">
      <c r="A357" s="13" t="s">
        <v>14</v>
      </c>
      <c r="B357" s="13" t="s">
        <v>39</v>
      </c>
      <c r="C357" s="18" t="s">
        <v>40</v>
      </c>
      <c r="D357" s="13" t="s">
        <v>41</v>
      </c>
      <c r="E357" s="13" t="s">
        <v>42</v>
      </c>
      <c r="F357" s="13" t="s">
        <v>43</v>
      </c>
      <c r="G357" s="13" t="s">
        <v>44</v>
      </c>
      <c r="H357" s="13" t="s">
        <v>45</v>
      </c>
      <c r="I357" s="10"/>
      <c r="J357" s="13" t="s">
        <v>117</v>
      </c>
    </row>
    <row r="358" spans="1:10" x14ac:dyDescent="0.25">
      <c r="A358" s="10"/>
      <c r="B358" s="13"/>
      <c r="C358" s="13"/>
      <c r="D358" s="13" t="s">
        <v>46</v>
      </c>
      <c r="E358" s="14">
        <f>B15</f>
        <v>14154</v>
      </c>
      <c r="F358" s="17">
        <f>F38</f>
        <v>28308</v>
      </c>
      <c r="G358" s="17">
        <f>F358*0.3</f>
        <v>8492.4</v>
      </c>
      <c r="H358" s="17">
        <f>F358+G358</f>
        <v>36800.400000000001</v>
      </c>
      <c r="I358" s="10"/>
      <c r="J358" s="10"/>
    </row>
    <row r="359" spans="1:10" x14ac:dyDescent="0.25">
      <c r="A359" s="10"/>
      <c r="B359" s="13"/>
      <c r="C359" s="13"/>
      <c r="D359" s="13" t="s">
        <v>47</v>
      </c>
      <c r="E359" s="14">
        <f>B16</f>
        <v>16509</v>
      </c>
      <c r="F359" s="17">
        <f>F68</f>
        <v>33018</v>
      </c>
      <c r="G359" s="17">
        <f t="shared" ref="G359:G362" si="21">F359*0.3</f>
        <v>9905.4</v>
      </c>
      <c r="H359" s="17">
        <f t="shared" ref="H359:H362" si="22">F359+G359</f>
        <v>42923.4</v>
      </c>
      <c r="I359" s="10"/>
      <c r="J359" s="10"/>
    </row>
    <row r="360" spans="1:10" x14ac:dyDescent="0.25">
      <c r="A360" s="10"/>
      <c r="B360" s="13"/>
      <c r="C360" s="13"/>
      <c r="D360" s="13" t="s">
        <v>48</v>
      </c>
      <c r="E360" s="14">
        <f>B17</f>
        <v>12294</v>
      </c>
      <c r="F360" s="17">
        <f>F87</f>
        <v>12294</v>
      </c>
      <c r="G360" s="17">
        <f t="shared" si="21"/>
        <v>3688.2</v>
      </c>
      <c r="H360" s="17">
        <f t="shared" si="22"/>
        <v>15982.2</v>
      </c>
      <c r="I360" s="10"/>
      <c r="J360" s="10"/>
    </row>
    <row r="361" spans="1:10" x14ac:dyDescent="0.25">
      <c r="A361" s="10"/>
      <c r="B361" s="13"/>
      <c r="C361" s="13"/>
      <c r="D361" s="13" t="s">
        <v>50</v>
      </c>
      <c r="E361" s="14">
        <f>B19</f>
        <v>10333</v>
      </c>
      <c r="F361" s="17">
        <f>F145</f>
        <v>20666</v>
      </c>
      <c r="G361" s="17">
        <f t="shared" si="21"/>
        <v>6199.8</v>
      </c>
      <c r="H361" s="17">
        <f t="shared" si="22"/>
        <v>26865.8</v>
      </c>
      <c r="I361" s="10"/>
      <c r="J361" s="10"/>
    </row>
    <row r="362" spans="1:10" x14ac:dyDescent="0.25">
      <c r="A362" s="10"/>
      <c r="B362" s="13"/>
      <c r="C362" s="13"/>
      <c r="D362" s="13" t="s">
        <v>76</v>
      </c>
      <c r="E362" s="14">
        <f>B20</f>
        <v>8545</v>
      </c>
      <c r="F362" s="17">
        <f>F165</f>
        <v>17090</v>
      </c>
      <c r="G362" s="17">
        <f t="shared" si="21"/>
        <v>5127</v>
      </c>
      <c r="H362" s="17">
        <f t="shared" si="22"/>
        <v>22217</v>
      </c>
      <c r="I362" s="10"/>
      <c r="J362" s="10"/>
    </row>
    <row r="363" spans="1:10" x14ac:dyDescent="0.25">
      <c r="A363" s="10"/>
      <c r="B363" s="13"/>
      <c r="C363" s="13"/>
      <c r="D363" s="13"/>
      <c r="E363" s="13"/>
      <c r="F363" s="14"/>
      <c r="G363" s="13" t="s">
        <v>56</v>
      </c>
      <c r="H363" s="17">
        <f>SUM(H358:H362)</f>
        <v>144788.79999999999</v>
      </c>
      <c r="I363" s="10"/>
      <c r="J363" s="10"/>
    </row>
    <row r="364" spans="1:10" x14ac:dyDescent="0.25">
      <c r="A364" s="10"/>
      <c r="B364" s="10"/>
      <c r="C364" s="10" t="s">
        <v>26</v>
      </c>
      <c r="D364" s="10"/>
      <c r="E364" s="13"/>
      <c r="F364" s="10"/>
      <c r="G364" s="10"/>
      <c r="H364" s="14"/>
      <c r="I364" s="10"/>
      <c r="J364" s="10"/>
    </row>
    <row r="365" spans="1:10" x14ac:dyDescent="0.25">
      <c r="A365" s="10"/>
      <c r="B365" s="10"/>
      <c r="C365" s="15">
        <f>E39+E40+E69+E70+E88+E89+E146+E147+E166+E167</f>
        <v>3.0999999999999996</v>
      </c>
      <c r="D365" s="13" t="s">
        <v>18</v>
      </c>
      <c r="E365" s="13">
        <f>B27</f>
        <v>54000</v>
      </c>
      <c r="F365" s="18">
        <f>C365*E365</f>
        <v>167399.99999999997</v>
      </c>
      <c r="G365" s="18">
        <f>F365*0.3</f>
        <v>50219.999999999993</v>
      </c>
      <c r="H365" s="17">
        <f>F365+G365</f>
        <v>217619.99999999997</v>
      </c>
      <c r="I365" s="10"/>
      <c r="J365" s="10"/>
    </row>
    <row r="366" spans="1:10" x14ac:dyDescent="0.25">
      <c r="A366" s="10"/>
      <c r="B366" s="10"/>
      <c r="C366" s="15">
        <f>E41+E42+E71+E72+E90+E91+E148+E149+E168+E169</f>
        <v>4</v>
      </c>
      <c r="D366" s="13" t="s">
        <v>19</v>
      </c>
      <c r="E366" s="13">
        <f>B28</f>
        <v>24000</v>
      </c>
      <c r="F366" s="18">
        <f t="shared" ref="F366:F367" si="23">C366*E366</f>
        <v>96000</v>
      </c>
      <c r="G366" s="18">
        <f>F366*0.1</f>
        <v>9600</v>
      </c>
      <c r="H366" s="17">
        <f t="shared" ref="H366:H367" si="24">F366+G366</f>
        <v>105600</v>
      </c>
      <c r="I366" s="10"/>
      <c r="J366" s="10"/>
    </row>
    <row r="367" spans="1:10" x14ac:dyDescent="0.25">
      <c r="A367" s="10"/>
      <c r="B367" s="10"/>
      <c r="C367" s="15">
        <f>E43+E44+E73+E74+E92+E93+E150+E151+E170+E171</f>
        <v>3</v>
      </c>
      <c r="D367" s="13" t="s">
        <v>84</v>
      </c>
      <c r="E367" s="13">
        <f>B25</f>
        <v>5000</v>
      </c>
      <c r="F367" s="18">
        <f t="shared" si="23"/>
        <v>15000</v>
      </c>
      <c r="G367" s="18">
        <f>F367*0.085</f>
        <v>1275</v>
      </c>
      <c r="H367" s="17">
        <f t="shared" si="24"/>
        <v>16275</v>
      </c>
      <c r="I367" s="10"/>
      <c r="J367" s="10"/>
    </row>
    <row r="368" spans="1:10" x14ac:dyDescent="0.25">
      <c r="A368" s="10"/>
      <c r="B368" s="10"/>
      <c r="C368" s="10"/>
      <c r="D368" s="10"/>
      <c r="E368" s="13"/>
      <c r="F368" s="10"/>
      <c r="G368" s="10" t="s">
        <v>57</v>
      </c>
      <c r="H368" s="17">
        <f>SUM(H365:H367)</f>
        <v>339495</v>
      </c>
      <c r="I368" s="10"/>
      <c r="J368" s="10"/>
    </row>
    <row r="369" spans="1:10" x14ac:dyDescent="0.25">
      <c r="A369" s="10"/>
      <c r="B369" s="10"/>
      <c r="C369" s="10"/>
      <c r="D369" s="10"/>
      <c r="E369" s="13"/>
      <c r="F369" s="10"/>
      <c r="G369" s="10" t="s">
        <v>59</v>
      </c>
      <c r="H369" s="14">
        <f>SUM(G358:G362)+SUM(G365:G367)</f>
        <v>94507.799999999988</v>
      </c>
      <c r="I369" s="10"/>
      <c r="J369" s="10"/>
    </row>
    <row r="370" spans="1:10" x14ac:dyDescent="0.25">
      <c r="A370" s="10"/>
      <c r="B370" s="10"/>
      <c r="C370" s="10"/>
      <c r="D370" s="13" t="s">
        <v>20</v>
      </c>
      <c r="E370" s="14">
        <f>F50+F76+F95+F153+F173</f>
        <v>63500</v>
      </c>
      <c r="F370" s="10"/>
      <c r="G370" s="10"/>
      <c r="H370" s="10"/>
      <c r="I370" s="10"/>
      <c r="J370" s="10"/>
    </row>
    <row r="371" spans="1:10" x14ac:dyDescent="0.25">
      <c r="A371" s="10"/>
      <c r="B371" s="10"/>
      <c r="C371" s="10"/>
      <c r="D371" s="13" t="s">
        <v>30</v>
      </c>
      <c r="E371" s="14">
        <f>F51+F77+F96+F154+F174</f>
        <v>64320</v>
      </c>
      <c r="F371" s="10"/>
      <c r="G371" s="13" t="s">
        <v>53</v>
      </c>
      <c r="H371" s="17">
        <f>E370+E371</f>
        <v>127820</v>
      </c>
      <c r="I371" s="10"/>
      <c r="J371" s="10"/>
    </row>
    <row r="372" spans="1:10" x14ac:dyDescent="0.25">
      <c r="A372" s="10"/>
      <c r="B372" s="10"/>
      <c r="C372" s="10"/>
      <c r="D372" s="13" t="s">
        <v>21</v>
      </c>
      <c r="E372" s="14">
        <f>F52+F78+F97+F155+F175</f>
        <v>36560</v>
      </c>
      <c r="F372" s="10"/>
      <c r="G372" s="10"/>
      <c r="H372" s="17">
        <f>E372</f>
        <v>36560</v>
      </c>
      <c r="I372" s="10"/>
      <c r="J372" s="10"/>
    </row>
    <row r="373" spans="1:10" x14ac:dyDescent="0.25">
      <c r="A373" s="10"/>
      <c r="B373" s="10"/>
      <c r="C373" s="10"/>
      <c r="D373" s="13" t="s">
        <v>22</v>
      </c>
      <c r="E373" s="14">
        <f>F53+F79+F98+F156+F176</f>
        <v>12500</v>
      </c>
      <c r="F373" s="10"/>
      <c r="G373" s="10"/>
      <c r="H373" s="17">
        <f>E373</f>
        <v>12500</v>
      </c>
      <c r="I373" s="10"/>
      <c r="J373" s="10"/>
    </row>
    <row r="374" spans="1:10" x14ac:dyDescent="0.25">
      <c r="A374" s="10"/>
      <c r="B374" s="10"/>
      <c r="C374" s="10"/>
      <c r="D374" s="13" t="s">
        <v>78</v>
      </c>
      <c r="E374" s="14"/>
      <c r="F374" s="10"/>
      <c r="G374" s="10"/>
      <c r="H374" s="17">
        <f>E374</f>
        <v>0</v>
      </c>
      <c r="I374" s="10"/>
      <c r="J374" s="10"/>
    </row>
    <row r="375" spans="1:10" x14ac:dyDescent="0.25">
      <c r="A375" s="10"/>
      <c r="B375" s="10"/>
      <c r="C375" s="10"/>
      <c r="D375" s="13" t="s">
        <v>51</v>
      </c>
      <c r="E375" s="14"/>
      <c r="F375" s="10"/>
      <c r="G375" s="10"/>
      <c r="H375" s="17">
        <f>H363+H368+H371+H372+H373+H374</f>
        <v>661163.80000000005</v>
      </c>
      <c r="I375" s="10"/>
      <c r="J375" s="10"/>
    </row>
    <row r="376" spans="1:10" x14ac:dyDescent="0.25">
      <c r="A376" s="10"/>
      <c r="B376" s="10"/>
      <c r="C376" s="10"/>
      <c r="D376" s="13" t="s">
        <v>54</v>
      </c>
      <c r="E376" s="14">
        <f>F57+F81+F100+F158+F178</f>
        <v>152730.35700000002</v>
      </c>
      <c r="F376" s="10"/>
      <c r="G376" s="10"/>
      <c r="H376" s="17">
        <f>E376</f>
        <v>152730.35700000002</v>
      </c>
      <c r="I376" s="10"/>
      <c r="J376" s="10"/>
    </row>
    <row r="377" spans="1:10" x14ac:dyDescent="0.25">
      <c r="A377" s="10"/>
      <c r="B377" s="10"/>
      <c r="C377" s="10"/>
      <c r="D377" s="13" t="s">
        <v>55</v>
      </c>
      <c r="E377" s="14">
        <f>F58+F82+F101+F159+F179</f>
        <v>85290.400000000009</v>
      </c>
      <c r="F377" s="10"/>
      <c r="G377" s="10"/>
      <c r="H377" s="17">
        <f>E377</f>
        <v>85290.400000000009</v>
      </c>
      <c r="I377" s="10"/>
      <c r="J377" s="16"/>
    </row>
    <row r="378" spans="1:10" x14ac:dyDescent="0.25">
      <c r="A378" s="10"/>
      <c r="B378" s="10"/>
      <c r="C378" s="10"/>
      <c r="D378" s="13" t="s">
        <v>52</v>
      </c>
      <c r="E378" s="14"/>
      <c r="F378" s="10"/>
      <c r="G378" s="10"/>
      <c r="H378" s="17">
        <f>SUM(H375:H377)</f>
        <v>899184.55700000015</v>
      </c>
      <c r="I378" s="10"/>
      <c r="J378" s="10"/>
    </row>
    <row r="379" spans="1:10" x14ac:dyDescent="0.25">
      <c r="A379" s="10"/>
      <c r="B379" s="10"/>
      <c r="C379" s="10"/>
      <c r="D379" s="10"/>
      <c r="E379" s="13"/>
      <c r="F379" s="10"/>
      <c r="G379" s="10"/>
      <c r="H379" s="10"/>
      <c r="I379" s="10"/>
      <c r="J379" s="10"/>
    </row>
    <row r="380" spans="1:10" x14ac:dyDescent="0.25">
      <c r="A380" s="10"/>
      <c r="B380" s="10"/>
      <c r="C380" s="10"/>
      <c r="D380" s="13" t="s">
        <v>58</v>
      </c>
      <c r="E380" s="16"/>
      <c r="F380" s="10"/>
      <c r="G380" s="10"/>
      <c r="H380" s="10"/>
      <c r="I380" s="10"/>
      <c r="J380" s="10"/>
    </row>
    <row r="381" spans="1:10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 spans="1:10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 spans="1:10" x14ac:dyDescent="0.25">
      <c r="A383" s="13" t="s">
        <v>14</v>
      </c>
      <c r="B383" s="13" t="s">
        <v>39</v>
      </c>
      <c r="C383" s="18" t="s">
        <v>60</v>
      </c>
      <c r="D383" s="13" t="s">
        <v>41</v>
      </c>
      <c r="E383" s="13" t="s">
        <v>42</v>
      </c>
      <c r="F383" s="13" t="s">
        <v>43</v>
      </c>
      <c r="G383" s="13" t="s">
        <v>44</v>
      </c>
      <c r="H383" s="13" t="s">
        <v>45</v>
      </c>
      <c r="I383" s="10"/>
      <c r="J383" s="10"/>
    </row>
    <row r="384" spans="1:10" x14ac:dyDescent="0.25">
      <c r="A384" s="10"/>
      <c r="B384" s="13"/>
      <c r="C384" s="13"/>
      <c r="D384" s="13" t="s">
        <v>46</v>
      </c>
      <c r="E384" s="14">
        <f>B15*B26</f>
        <v>14578.62</v>
      </c>
      <c r="F384" s="17">
        <f>H38</f>
        <v>29157.24</v>
      </c>
      <c r="G384" s="17">
        <f>F384*0.3</f>
        <v>8747.1720000000005</v>
      </c>
      <c r="H384" s="17">
        <f>F384+G384</f>
        <v>37904.412000000004</v>
      </c>
      <c r="I384" s="10"/>
      <c r="J384" s="10"/>
    </row>
    <row r="385" spans="1:10" x14ac:dyDescent="0.25">
      <c r="A385" s="10"/>
      <c r="B385" s="13"/>
      <c r="C385" s="13"/>
      <c r="D385" s="13" t="s">
        <v>47</v>
      </c>
      <c r="E385" s="14">
        <f>B16*B26</f>
        <v>17004.27</v>
      </c>
      <c r="F385" s="17">
        <f>H68</f>
        <v>34008.54</v>
      </c>
      <c r="G385" s="17">
        <f t="shared" ref="G385:G388" si="25">F385*0.3</f>
        <v>10202.562</v>
      </c>
      <c r="H385" s="17">
        <f t="shared" ref="H385:H388" si="26">F385+G385</f>
        <v>44211.101999999999</v>
      </c>
      <c r="I385" s="10"/>
      <c r="J385" s="10"/>
    </row>
    <row r="386" spans="1:10" x14ac:dyDescent="0.25">
      <c r="A386" s="10"/>
      <c r="B386" s="13"/>
      <c r="C386" s="13"/>
      <c r="D386" s="13" t="s">
        <v>48</v>
      </c>
      <c r="E386" s="14">
        <f>B17*B26</f>
        <v>12662.82</v>
      </c>
      <c r="F386" s="17">
        <f>H87</f>
        <v>12662.82</v>
      </c>
      <c r="G386" s="17">
        <f t="shared" si="25"/>
        <v>3798.8459999999995</v>
      </c>
      <c r="H386" s="17">
        <f t="shared" si="26"/>
        <v>16461.665999999997</v>
      </c>
      <c r="I386" s="10"/>
      <c r="J386" s="10"/>
    </row>
    <row r="387" spans="1:10" x14ac:dyDescent="0.25">
      <c r="A387" s="10"/>
      <c r="B387" s="13"/>
      <c r="C387" s="13"/>
      <c r="D387" s="13" t="s">
        <v>50</v>
      </c>
      <c r="E387" s="14">
        <f>B19*B26</f>
        <v>10642.99</v>
      </c>
      <c r="F387" s="17">
        <f>H145</f>
        <v>21285.98</v>
      </c>
      <c r="G387" s="17">
        <f t="shared" si="25"/>
        <v>6385.7939999999999</v>
      </c>
      <c r="H387" s="17">
        <f t="shared" si="26"/>
        <v>27671.773999999998</v>
      </c>
      <c r="I387" s="10"/>
      <c r="J387" s="10"/>
    </row>
    <row r="388" spans="1:10" x14ac:dyDescent="0.25">
      <c r="A388" s="10"/>
      <c r="B388" s="13"/>
      <c r="C388" s="13"/>
      <c r="D388" s="13" t="s">
        <v>76</v>
      </c>
      <c r="E388" s="14">
        <f>B20*B26</f>
        <v>8801.35</v>
      </c>
      <c r="F388" s="17">
        <f>H165</f>
        <v>17602.7</v>
      </c>
      <c r="G388" s="17">
        <f t="shared" si="25"/>
        <v>5280.81</v>
      </c>
      <c r="H388" s="17">
        <f t="shared" si="26"/>
        <v>22883.510000000002</v>
      </c>
      <c r="I388" s="10"/>
      <c r="J388" s="10"/>
    </row>
    <row r="389" spans="1:10" x14ac:dyDescent="0.25">
      <c r="A389" s="10"/>
      <c r="B389" s="13"/>
      <c r="C389" s="13"/>
      <c r="D389" s="13"/>
      <c r="E389" s="13"/>
      <c r="F389" s="14"/>
      <c r="G389" s="13" t="s">
        <v>56</v>
      </c>
      <c r="H389" s="17">
        <f>SUM(H384:H388)</f>
        <v>149132.46400000001</v>
      </c>
      <c r="I389" s="10"/>
      <c r="J389" s="10"/>
    </row>
    <row r="390" spans="1:10" x14ac:dyDescent="0.25">
      <c r="A390" s="10"/>
      <c r="B390" s="10"/>
      <c r="C390" s="10" t="s">
        <v>26</v>
      </c>
      <c r="D390" s="10"/>
      <c r="E390" s="13"/>
      <c r="F390" s="10"/>
      <c r="G390" s="10"/>
      <c r="H390" s="14"/>
      <c r="I390" s="10"/>
      <c r="J390" s="10"/>
    </row>
    <row r="391" spans="1:10" x14ac:dyDescent="0.25">
      <c r="A391" s="10"/>
      <c r="B391" s="10"/>
      <c r="C391" s="15">
        <f>G39+G40+G69+G70+G88+G89+G146+G147+G166+G167</f>
        <v>3.0999999999999996</v>
      </c>
      <c r="D391" s="13" t="s">
        <v>18</v>
      </c>
      <c r="E391" s="13">
        <f>B27*B26</f>
        <v>55620</v>
      </c>
      <c r="F391" s="18">
        <f>C391*E391</f>
        <v>172421.99999999997</v>
      </c>
      <c r="G391" s="18">
        <f>F391*0.3</f>
        <v>51726.599999999991</v>
      </c>
      <c r="H391" s="17">
        <f>F391+G391</f>
        <v>224148.59999999998</v>
      </c>
      <c r="I391" s="10"/>
      <c r="J391" s="10"/>
    </row>
    <row r="392" spans="1:10" x14ac:dyDescent="0.25">
      <c r="A392" s="10"/>
      <c r="B392" s="10"/>
      <c r="C392" s="15">
        <f>G41+G42+G71+G72+G90+G91+G148+G149+G168+G169</f>
        <v>4</v>
      </c>
      <c r="D392" s="13" t="s">
        <v>19</v>
      </c>
      <c r="E392" s="13">
        <f>B28*B26</f>
        <v>24720</v>
      </c>
      <c r="F392" s="18">
        <f t="shared" ref="F392:F393" si="27">C392*E392</f>
        <v>98880</v>
      </c>
      <c r="G392" s="18">
        <f>F392*0.1</f>
        <v>9888</v>
      </c>
      <c r="H392" s="17">
        <f t="shared" ref="H392:H393" si="28">F392+G392</f>
        <v>108768</v>
      </c>
      <c r="I392" s="10"/>
      <c r="J392" s="10"/>
    </row>
    <row r="393" spans="1:10" x14ac:dyDescent="0.25">
      <c r="A393" s="10"/>
      <c r="B393" s="10"/>
      <c r="C393" s="15">
        <f>G43+G44+G73+G74+G92+G93+G150+G151+G170+G171</f>
        <v>3</v>
      </c>
      <c r="D393" s="13" t="s">
        <v>84</v>
      </c>
      <c r="E393" s="13">
        <f>B25</f>
        <v>5000</v>
      </c>
      <c r="F393" s="18">
        <f t="shared" si="27"/>
        <v>15000</v>
      </c>
      <c r="G393" s="18">
        <f>F393*0.085</f>
        <v>1275</v>
      </c>
      <c r="H393" s="17">
        <f t="shared" si="28"/>
        <v>16275</v>
      </c>
      <c r="I393" s="10"/>
      <c r="J393" s="10"/>
    </row>
    <row r="394" spans="1:10" x14ac:dyDescent="0.25">
      <c r="A394" s="10"/>
      <c r="B394" s="10"/>
      <c r="C394" s="10"/>
      <c r="D394" s="10"/>
      <c r="E394" s="13"/>
      <c r="F394" s="10"/>
      <c r="G394" s="10" t="s">
        <v>57</v>
      </c>
      <c r="H394" s="17">
        <f>SUM(H391:H393)</f>
        <v>349191.6</v>
      </c>
      <c r="I394" s="10"/>
      <c r="J394" s="10"/>
    </row>
    <row r="395" spans="1:10" x14ac:dyDescent="0.25">
      <c r="A395" s="10"/>
      <c r="B395" s="10"/>
      <c r="C395" s="10"/>
      <c r="D395" s="10"/>
      <c r="E395" s="13"/>
      <c r="F395" s="10"/>
      <c r="G395" s="10" t="s">
        <v>59</v>
      </c>
      <c r="H395" s="14">
        <f>SUM(G384:G388)+SUM(G391:G393)</f>
        <v>97304.783999999985</v>
      </c>
      <c r="I395" s="10"/>
      <c r="J395" s="10"/>
    </row>
    <row r="396" spans="1:10" x14ac:dyDescent="0.25">
      <c r="A396" s="10"/>
      <c r="B396" s="10"/>
      <c r="C396" s="10"/>
      <c r="D396" s="13" t="s">
        <v>20</v>
      </c>
      <c r="E396" s="14">
        <f>H50+H76+H95+H153+H173</f>
        <v>63500</v>
      </c>
      <c r="F396" s="10"/>
      <c r="G396" s="10"/>
      <c r="H396" s="10"/>
      <c r="I396" s="10"/>
      <c r="J396" s="10"/>
    </row>
    <row r="397" spans="1:10" x14ac:dyDescent="0.25">
      <c r="A397" s="10"/>
      <c r="B397" s="10"/>
      <c r="C397" s="10"/>
      <c r="D397" s="13" t="s">
        <v>30</v>
      </c>
      <c r="E397" s="14">
        <f>H51+H77+H96+H154+H174</f>
        <v>64320</v>
      </c>
      <c r="F397" s="10"/>
      <c r="G397" s="13" t="s">
        <v>53</v>
      </c>
      <c r="H397" s="17">
        <f>E396+E397</f>
        <v>127820</v>
      </c>
      <c r="I397" s="10"/>
      <c r="J397" s="10"/>
    </row>
    <row r="398" spans="1:10" x14ac:dyDescent="0.25">
      <c r="A398" s="10"/>
      <c r="B398" s="10"/>
      <c r="C398" s="10"/>
      <c r="D398" s="13" t="s">
        <v>21</v>
      </c>
      <c r="E398" s="14">
        <f>H52+H78+H97+H155+H175</f>
        <v>36560</v>
      </c>
      <c r="F398" s="10"/>
      <c r="G398" s="10"/>
      <c r="H398" s="17">
        <f>E398</f>
        <v>36560</v>
      </c>
      <c r="I398" s="10"/>
      <c r="J398" s="10"/>
    </row>
    <row r="399" spans="1:10" x14ac:dyDescent="0.25">
      <c r="A399" s="10"/>
      <c r="B399" s="10"/>
      <c r="C399" s="10"/>
      <c r="D399" s="13" t="s">
        <v>22</v>
      </c>
      <c r="E399" s="14">
        <f>H53+H79+H98+H156+H176</f>
        <v>12500</v>
      </c>
      <c r="F399" s="10"/>
      <c r="G399" s="10"/>
      <c r="H399" s="17">
        <f t="shared" ref="H399:H400" si="29">E399</f>
        <v>12500</v>
      </c>
      <c r="I399" s="10"/>
      <c r="J399" s="10"/>
    </row>
    <row r="400" spans="1:10" x14ac:dyDescent="0.25">
      <c r="A400" s="10"/>
      <c r="B400" s="10"/>
      <c r="C400" s="10"/>
      <c r="D400" s="13" t="s">
        <v>78</v>
      </c>
      <c r="E400" s="14"/>
      <c r="F400" s="10"/>
      <c r="G400" s="10"/>
      <c r="H400" s="17">
        <f t="shared" si="29"/>
        <v>0</v>
      </c>
      <c r="I400" s="10"/>
      <c r="J400" s="10"/>
    </row>
    <row r="401" spans="1:10" x14ac:dyDescent="0.25">
      <c r="A401" s="10"/>
      <c r="B401" s="10"/>
      <c r="C401" s="10"/>
      <c r="D401" s="13" t="s">
        <v>51</v>
      </c>
      <c r="E401" s="14"/>
      <c r="F401" s="10"/>
      <c r="G401" s="10"/>
      <c r="H401" s="17">
        <f>H389+H394+H397+H398+H399+H400</f>
        <v>675204.06400000001</v>
      </c>
      <c r="I401" s="10"/>
      <c r="J401" s="10"/>
    </row>
    <row r="402" spans="1:10" x14ac:dyDescent="0.25">
      <c r="A402" s="10"/>
      <c r="B402" s="10"/>
      <c r="C402" s="10"/>
      <c r="D402" s="13" t="s">
        <v>54</v>
      </c>
      <c r="E402" s="14">
        <f>H57+H81+H100+H158+H178</f>
        <v>156867.69396000003</v>
      </c>
      <c r="F402" s="10"/>
      <c r="G402" s="10"/>
      <c r="H402" s="17">
        <f>E402</f>
        <v>156867.69396000003</v>
      </c>
      <c r="I402" s="10"/>
      <c r="J402" s="10"/>
    </row>
    <row r="403" spans="1:10" x14ac:dyDescent="0.25">
      <c r="A403" s="10"/>
      <c r="B403" s="10"/>
      <c r="C403" s="10"/>
      <c r="D403" s="13" t="s">
        <v>55</v>
      </c>
      <c r="E403" s="14">
        <f>H58+H82+H101+H159+H179</f>
        <v>86852.116000000009</v>
      </c>
      <c r="F403" s="10"/>
      <c r="G403" s="10"/>
      <c r="H403" s="17">
        <f>E403</f>
        <v>86852.116000000009</v>
      </c>
      <c r="I403" s="10"/>
      <c r="J403" s="16"/>
    </row>
    <row r="404" spans="1:10" x14ac:dyDescent="0.25">
      <c r="A404" s="10"/>
      <c r="B404" s="10"/>
      <c r="C404" s="10"/>
      <c r="D404" s="13" t="s">
        <v>52</v>
      </c>
      <c r="E404" s="14"/>
      <c r="F404" s="10"/>
      <c r="G404" s="10"/>
      <c r="H404" s="17">
        <f>SUM(H401:H403)</f>
        <v>918923.87396000011</v>
      </c>
      <c r="I404" s="10"/>
      <c r="J404" s="10"/>
    </row>
    <row r="405" spans="1:10" x14ac:dyDescent="0.25">
      <c r="A405" s="10"/>
      <c r="B405" s="10"/>
      <c r="C405" s="10"/>
      <c r="D405" s="10"/>
      <c r="E405" s="13"/>
      <c r="F405" s="10"/>
      <c r="G405" s="10"/>
      <c r="H405" s="10"/>
      <c r="I405" s="10"/>
      <c r="J405" s="10"/>
    </row>
    <row r="406" spans="1:10" x14ac:dyDescent="0.25">
      <c r="A406" s="10"/>
      <c r="B406" s="10"/>
      <c r="C406" s="10"/>
      <c r="D406" s="13" t="s">
        <v>58</v>
      </c>
      <c r="E406" s="16"/>
      <c r="F406" s="10"/>
      <c r="G406" s="10"/>
      <c r="H406" s="10"/>
      <c r="I406" s="10"/>
      <c r="J406" s="10"/>
    </row>
    <row r="407" spans="1:10" x14ac:dyDescent="0.25">
      <c r="A407" s="10"/>
      <c r="B407" s="10"/>
      <c r="C407" s="10"/>
      <c r="D407" s="13"/>
      <c r="E407" s="16"/>
      <c r="F407" s="10"/>
      <c r="G407" s="10"/>
      <c r="H407" s="10"/>
      <c r="I407" s="10"/>
      <c r="J407" s="10"/>
    </row>
    <row r="408" spans="1:10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 spans="1:10" x14ac:dyDescent="0.25">
      <c r="A409" s="13" t="s">
        <v>14</v>
      </c>
      <c r="B409" s="13" t="s">
        <v>39</v>
      </c>
      <c r="C409" s="18" t="s">
        <v>61</v>
      </c>
      <c r="D409" s="13" t="s">
        <v>41</v>
      </c>
      <c r="E409" s="13" t="s">
        <v>42</v>
      </c>
      <c r="F409" s="13" t="s">
        <v>43</v>
      </c>
      <c r="G409" s="13" t="s">
        <v>44</v>
      </c>
      <c r="H409" s="13" t="s">
        <v>45</v>
      </c>
      <c r="I409" s="10"/>
      <c r="J409" s="10"/>
    </row>
    <row r="410" spans="1:10" x14ac:dyDescent="0.25">
      <c r="A410" s="10"/>
      <c r="B410" s="13"/>
      <c r="C410" s="13"/>
      <c r="D410" s="13" t="s">
        <v>46</v>
      </c>
      <c r="E410" s="14">
        <f>B15*B26*B26</f>
        <v>15015.9786</v>
      </c>
      <c r="F410" s="17">
        <f>J38</f>
        <v>30031.957200000001</v>
      </c>
      <c r="G410" s="17">
        <f>F410*0.3</f>
        <v>9009.5871599999991</v>
      </c>
      <c r="H410" s="17">
        <f>F410+G410</f>
        <v>39041.54436</v>
      </c>
      <c r="I410" s="10"/>
      <c r="J410" s="10"/>
    </row>
    <row r="411" spans="1:10" x14ac:dyDescent="0.25">
      <c r="A411" s="10"/>
      <c r="B411" s="13"/>
      <c r="C411" s="13"/>
      <c r="D411" s="13" t="s">
        <v>47</v>
      </c>
      <c r="E411" s="14">
        <f>B16*B26*B26</f>
        <v>17514.398100000002</v>
      </c>
      <c r="F411" s="17">
        <f>J68</f>
        <v>35028.796200000004</v>
      </c>
      <c r="G411" s="17">
        <f t="shared" ref="G411:G414" si="30">F411*0.3</f>
        <v>10508.638860000001</v>
      </c>
      <c r="H411" s="17">
        <f t="shared" ref="H411:H414" si="31">F411+G411</f>
        <v>45537.435060000003</v>
      </c>
      <c r="I411" s="10"/>
      <c r="J411" s="10"/>
    </row>
    <row r="412" spans="1:10" x14ac:dyDescent="0.25">
      <c r="A412" s="10"/>
      <c r="B412" s="13"/>
      <c r="C412" s="13"/>
      <c r="D412" s="13" t="s">
        <v>48</v>
      </c>
      <c r="E412" s="14">
        <f>B17*B26*B26</f>
        <v>13042.704600000001</v>
      </c>
      <c r="F412" s="17">
        <f>J87</f>
        <v>13042.704600000001</v>
      </c>
      <c r="G412" s="17">
        <f t="shared" si="30"/>
        <v>3912.8113800000001</v>
      </c>
      <c r="H412" s="17">
        <f t="shared" si="31"/>
        <v>16955.51598</v>
      </c>
      <c r="I412" s="10"/>
      <c r="J412" s="10"/>
    </row>
    <row r="413" spans="1:10" x14ac:dyDescent="0.25">
      <c r="A413" s="10"/>
      <c r="B413" s="13"/>
      <c r="C413" s="13"/>
      <c r="D413" s="13" t="s">
        <v>50</v>
      </c>
      <c r="E413" s="14">
        <f>B19*B26*B26</f>
        <v>10962.279700000001</v>
      </c>
      <c r="F413" s="17">
        <f>J145</f>
        <v>21924.559400000002</v>
      </c>
      <c r="G413" s="17">
        <f t="shared" si="30"/>
        <v>6577.3678200000004</v>
      </c>
      <c r="H413" s="17">
        <f t="shared" si="31"/>
        <v>28501.927220000001</v>
      </c>
      <c r="I413" s="10"/>
      <c r="J413" s="10"/>
    </row>
    <row r="414" spans="1:10" x14ac:dyDescent="0.25">
      <c r="A414" s="10"/>
      <c r="B414" s="13"/>
      <c r="C414" s="13"/>
      <c r="D414" s="13" t="s">
        <v>76</v>
      </c>
      <c r="E414" s="14">
        <f>B20*B26*B26</f>
        <v>9065.3905000000013</v>
      </c>
      <c r="F414" s="17">
        <f>J165</f>
        <v>18130.781000000003</v>
      </c>
      <c r="G414" s="17">
        <f t="shared" si="30"/>
        <v>5439.234300000001</v>
      </c>
      <c r="H414" s="17">
        <f t="shared" si="31"/>
        <v>23570.015300000003</v>
      </c>
      <c r="I414" s="10"/>
      <c r="J414" s="10"/>
    </row>
    <row r="415" spans="1:10" x14ac:dyDescent="0.25">
      <c r="A415" s="10"/>
      <c r="B415" s="13"/>
      <c r="C415" s="13"/>
      <c r="D415" s="13"/>
      <c r="E415" s="13"/>
      <c r="F415" s="14"/>
      <c r="G415" s="13" t="s">
        <v>56</v>
      </c>
      <c r="H415" s="17">
        <f>SUM(H410:H414)</f>
        <v>153606.43792</v>
      </c>
      <c r="I415" s="10"/>
      <c r="J415" s="10"/>
    </row>
    <row r="416" spans="1:10" x14ac:dyDescent="0.25">
      <c r="A416" s="10"/>
      <c r="B416" s="10"/>
      <c r="C416" s="10" t="s">
        <v>26</v>
      </c>
      <c r="D416" s="10"/>
      <c r="E416" s="13"/>
      <c r="F416" s="10"/>
      <c r="G416" s="10"/>
      <c r="H416" s="14"/>
      <c r="I416" s="10"/>
      <c r="J416" s="10"/>
    </row>
    <row r="417" spans="1:10" x14ac:dyDescent="0.25">
      <c r="A417" s="10"/>
      <c r="B417" s="10"/>
      <c r="C417" s="15">
        <f>I39+I40+I69+I70+I88+I89+I146+I147+I166+I167</f>
        <v>3.5999999999999996</v>
      </c>
      <c r="D417" s="13" t="s">
        <v>18</v>
      </c>
      <c r="E417" s="13">
        <f>B27*B26*B26</f>
        <v>57288.6</v>
      </c>
      <c r="F417" s="18">
        <f>C417*E417</f>
        <v>206238.95999999996</v>
      </c>
      <c r="G417" s="18">
        <f>F417*0.3</f>
        <v>61871.687999999987</v>
      </c>
      <c r="H417" s="17">
        <f>F417+G417</f>
        <v>268110.64799999993</v>
      </c>
      <c r="I417" s="10"/>
      <c r="J417" s="10"/>
    </row>
    <row r="418" spans="1:10" x14ac:dyDescent="0.25">
      <c r="A418" s="10"/>
      <c r="B418" s="10"/>
      <c r="C418" s="15">
        <f>I41+I42+I71+I72+I90+I91+I148+I149+I168+I169</f>
        <v>4.5</v>
      </c>
      <c r="D418" s="13" t="s">
        <v>19</v>
      </c>
      <c r="E418" s="13">
        <f>B28*B26*B26</f>
        <v>25461.600000000002</v>
      </c>
      <c r="F418" s="18">
        <f t="shared" ref="F418:F419" si="32">C418*E418</f>
        <v>114577.20000000001</v>
      </c>
      <c r="G418" s="18">
        <f>F418*0.1</f>
        <v>11457.720000000001</v>
      </c>
      <c r="H418" s="17">
        <f t="shared" ref="H418:H419" si="33">F418+G418</f>
        <v>126034.92000000001</v>
      </c>
      <c r="I418" s="10"/>
      <c r="J418" s="10"/>
    </row>
    <row r="419" spans="1:10" x14ac:dyDescent="0.25">
      <c r="A419" s="10"/>
      <c r="B419" s="10"/>
      <c r="C419" s="15">
        <f>I43+I44+I73+I74+I92+I93+I150+I151+I170+I171</f>
        <v>3</v>
      </c>
      <c r="D419" s="13" t="s">
        <v>84</v>
      </c>
      <c r="E419" s="13">
        <f>B25</f>
        <v>5000</v>
      </c>
      <c r="F419" s="18">
        <f t="shared" si="32"/>
        <v>15000</v>
      </c>
      <c r="G419" s="18">
        <f>F419*0.085</f>
        <v>1275</v>
      </c>
      <c r="H419" s="17">
        <f t="shared" si="33"/>
        <v>16275</v>
      </c>
      <c r="I419" s="10"/>
      <c r="J419" s="10"/>
    </row>
    <row r="420" spans="1:10" x14ac:dyDescent="0.25">
      <c r="A420" s="10"/>
      <c r="B420" s="10"/>
      <c r="C420" s="10"/>
      <c r="D420" s="10"/>
      <c r="E420" s="13"/>
      <c r="F420" s="10"/>
      <c r="G420" s="10" t="s">
        <v>57</v>
      </c>
      <c r="H420" s="17">
        <f>SUM(H417:H419)</f>
        <v>410420.56799999997</v>
      </c>
      <c r="I420" s="10"/>
      <c r="J420" s="10"/>
    </row>
    <row r="421" spans="1:10" x14ac:dyDescent="0.25">
      <c r="A421" s="10"/>
      <c r="B421" s="10"/>
      <c r="C421" s="10"/>
      <c r="D421" s="10"/>
      <c r="E421" s="13"/>
      <c r="F421" s="10"/>
      <c r="G421" s="10" t="s">
        <v>59</v>
      </c>
      <c r="H421" s="14">
        <f>SUM(G410:G414)+SUM(G417:G419)</f>
        <v>110052.04751999999</v>
      </c>
      <c r="I421" s="10"/>
      <c r="J421" s="10"/>
    </row>
    <row r="422" spans="1:10" x14ac:dyDescent="0.25">
      <c r="A422" s="10"/>
      <c r="B422" s="10"/>
      <c r="C422" s="10"/>
      <c r="D422" s="13" t="s">
        <v>20</v>
      </c>
      <c r="E422" s="14">
        <f>J50+J76+J95+J153+J173</f>
        <v>63500</v>
      </c>
      <c r="F422" s="10"/>
      <c r="G422" s="10"/>
      <c r="H422" s="10"/>
      <c r="I422" s="10"/>
      <c r="J422" s="10"/>
    </row>
    <row r="423" spans="1:10" x14ac:dyDescent="0.25">
      <c r="A423" s="10"/>
      <c r="B423" s="10"/>
      <c r="C423" s="10"/>
      <c r="D423" s="13" t="s">
        <v>30</v>
      </c>
      <c r="E423" s="14">
        <f>J51+J77+J96+J154+J174</f>
        <v>73920</v>
      </c>
      <c r="F423" s="10"/>
      <c r="G423" s="13" t="s">
        <v>53</v>
      </c>
      <c r="H423" s="17">
        <f>E422+E423</f>
        <v>137420</v>
      </c>
      <c r="I423" s="10"/>
      <c r="J423" s="10"/>
    </row>
    <row r="424" spans="1:10" x14ac:dyDescent="0.25">
      <c r="A424" s="10"/>
      <c r="B424" s="10"/>
      <c r="C424" s="10"/>
      <c r="D424" s="13" t="s">
        <v>21</v>
      </c>
      <c r="E424" s="14">
        <f>J52+J78+J97+J155+J175</f>
        <v>41130</v>
      </c>
      <c r="F424" s="10"/>
      <c r="G424" s="10"/>
      <c r="H424" s="17">
        <f>E424</f>
        <v>41130</v>
      </c>
      <c r="I424" s="10"/>
      <c r="J424" s="10"/>
    </row>
    <row r="425" spans="1:10" x14ac:dyDescent="0.25">
      <c r="A425" s="10"/>
      <c r="B425" s="10"/>
      <c r="C425" s="10"/>
      <c r="D425" s="13" t="s">
        <v>22</v>
      </c>
      <c r="E425" s="14">
        <f>J53+J79+J98+J156+J176</f>
        <v>12500</v>
      </c>
      <c r="F425" s="10"/>
      <c r="G425" s="10"/>
      <c r="H425" s="17">
        <f>E425</f>
        <v>12500</v>
      </c>
      <c r="I425" s="10"/>
      <c r="J425" s="10"/>
    </row>
    <row r="426" spans="1:10" x14ac:dyDescent="0.25">
      <c r="A426" s="10"/>
      <c r="B426" s="10"/>
      <c r="C426" s="10"/>
      <c r="D426" s="13" t="s">
        <v>78</v>
      </c>
      <c r="E426" s="14"/>
      <c r="F426" s="10"/>
      <c r="G426" s="10"/>
      <c r="H426" s="17">
        <f>E426</f>
        <v>0</v>
      </c>
      <c r="I426" s="10"/>
      <c r="J426" s="10"/>
    </row>
    <row r="427" spans="1:10" x14ac:dyDescent="0.25">
      <c r="A427" s="10"/>
      <c r="B427" s="10"/>
      <c r="C427" s="10"/>
      <c r="D427" s="13" t="s">
        <v>51</v>
      </c>
      <c r="E427" s="14"/>
      <c r="F427" s="10"/>
      <c r="G427" s="10"/>
      <c r="H427" s="17">
        <f>H415+H420+H423+H424+H425+H426</f>
        <v>755077.00591999991</v>
      </c>
      <c r="I427" s="10"/>
      <c r="J427" s="10"/>
    </row>
    <row r="428" spans="1:10" x14ac:dyDescent="0.25">
      <c r="A428" s="10"/>
      <c r="B428" s="10"/>
      <c r="C428" s="10"/>
      <c r="D428" s="13" t="s">
        <v>54</v>
      </c>
      <c r="E428" s="14">
        <f>J57+J81+J100+J158+J178</f>
        <v>168341.14922880003</v>
      </c>
      <c r="F428" s="10"/>
      <c r="G428" s="10"/>
      <c r="H428" s="17">
        <f>E428</f>
        <v>168341.14922880003</v>
      </c>
      <c r="I428" s="10"/>
      <c r="J428" s="10"/>
    </row>
    <row r="429" spans="1:10" x14ac:dyDescent="0.25">
      <c r="A429" s="10"/>
      <c r="B429" s="10"/>
      <c r="C429" s="10"/>
      <c r="D429" s="13" t="s">
        <v>55</v>
      </c>
      <c r="E429" s="14">
        <f>J58+J82+J101+J159+J179</f>
        <v>100638.45688000001</v>
      </c>
      <c r="F429" s="10"/>
      <c r="G429" s="10"/>
      <c r="H429" s="17">
        <f>E429</f>
        <v>100638.45688000001</v>
      </c>
      <c r="I429" s="10"/>
      <c r="J429" s="16"/>
    </row>
    <row r="430" spans="1:10" x14ac:dyDescent="0.25">
      <c r="A430" s="10"/>
      <c r="B430" s="10"/>
      <c r="C430" s="10"/>
      <c r="D430" s="13" t="s">
        <v>52</v>
      </c>
      <c r="E430" s="14"/>
      <c r="F430" s="10"/>
      <c r="G430" s="10"/>
      <c r="H430" s="17">
        <f>SUM(H427:H429)</f>
        <v>1024056.6120288</v>
      </c>
      <c r="I430" s="10"/>
      <c r="J430" s="10"/>
    </row>
    <row r="431" spans="1:10" x14ac:dyDescent="0.25">
      <c r="A431" s="10"/>
      <c r="B431" s="10"/>
      <c r="C431" s="10"/>
      <c r="D431" s="10"/>
      <c r="E431" s="13"/>
      <c r="F431" s="10"/>
      <c r="G431" s="10"/>
      <c r="H431" s="10"/>
      <c r="I431" s="10"/>
      <c r="J431" s="10"/>
    </row>
    <row r="432" spans="1:10" x14ac:dyDescent="0.25">
      <c r="A432" s="10"/>
      <c r="B432" s="10"/>
      <c r="C432" s="10"/>
      <c r="D432" s="13" t="s">
        <v>58</v>
      </c>
      <c r="E432" s="16"/>
      <c r="F432" s="10"/>
      <c r="G432" s="10"/>
      <c r="H432" s="10"/>
      <c r="I432" s="10"/>
      <c r="J432" s="10"/>
    </row>
    <row r="433" spans="1:10" x14ac:dyDescent="0.25">
      <c r="A433" s="10"/>
      <c r="B433" s="10"/>
      <c r="C433" s="10"/>
      <c r="D433" s="13"/>
      <c r="E433" s="16"/>
      <c r="F433" s="10"/>
      <c r="G433" s="10"/>
      <c r="H433" s="10"/>
      <c r="I433" s="10"/>
      <c r="J433" s="10"/>
    </row>
    <row r="434" spans="1:10" x14ac:dyDescent="0.25">
      <c r="A434" s="3" t="s">
        <v>14</v>
      </c>
      <c r="B434" s="3" t="s">
        <v>39</v>
      </c>
      <c r="C434" s="21" t="s">
        <v>128</v>
      </c>
      <c r="F434" t="s">
        <v>118</v>
      </c>
      <c r="H434" s="2">
        <f>H363+H389+H415</f>
        <v>447527.70191999996</v>
      </c>
      <c r="I434" s="10"/>
      <c r="J434" s="10"/>
    </row>
    <row r="435" spans="1:10" x14ac:dyDescent="0.25">
      <c r="F435" t="s">
        <v>120</v>
      </c>
      <c r="H435" s="2">
        <f>H368+H394+H420</f>
        <v>1099107.1680000001</v>
      </c>
      <c r="I435" s="10"/>
      <c r="J435" s="10"/>
    </row>
    <row r="436" spans="1:10" x14ac:dyDescent="0.25">
      <c r="F436" t="s">
        <v>121</v>
      </c>
      <c r="H436" s="7">
        <f>SUM(C365:C367) + SUM(C391:C393) + SUM(C417:C419)</f>
        <v>31.299999999999997</v>
      </c>
      <c r="I436" s="10"/>
      <c r="J436" s="10"/>
    </row>
    <row r="437" spans="1:10" x14ac:dyDescent="0.25">
      <c r="F437" t="s">
        <v>122</v>
      </c>
      <c r="H437" s="2">
        <f>H434+H435</f>
        <v>1546634.86992</v>
      </c>
      <c r="I437" s="10"/>
      <c r="J437" s="10"/>
    </row>
    <row r="438" spans="1:10" x14ac:dyDescent="0.25">
      <c r="I438" s="10"/>
      <c r="J438" s="10"/>
    </row>
    <row r="439" spans="1:10" x14ac:dyDescent="0.25">
      <c r="F439" t="s">
        <v>123</v>
      </c>
      <c r="H439">
        <f>H371/2+H397/2+H423/2</f>
        <v>196530</v>
      </c>
      <c r="I439" s="10"/>
      <c r="J439" s="10"/>
    </row>
    <row r="440" spans="1:10" x14ac:dyDescent="0.25">
      <c r="F440" t="s">
        <v>124</v>
      </c>
      <c r="H440">
        <f>H371/2+H397/2+H423/2</f>
        <v>196530</v>
      </c>
      <c r="I440" s="10"/>
      <c r="J440" s="10"/>
    </row>
    <row r="441" spans="1:10" x14ac:dyDescent="0.25">
      <c r="I441" s="10"/>
      <c r="J441" s="10"/>
    </row>
    <row r="442" spans="1:10" x14ac:dyDescent="0.25">
      <c r="F442" t="s">
        <v>21</v>
      </c>
      <c r="H442" s="2">
        <f>H372+H398+H424</f>
        <v>114250</v>
      </c>
      <c r="I442" s="10"/>
      <c r="J442" s="10"/>
    </row>
    <row r="443" spans="1:10" x14ac:dyDescent="0.25">
      <c r="I443" s="10"/>
      <c r="J443" s="10"/>
    </row>
    <row r="444" spans="1:10" x14ac:dyDescent="0.25">
      <c r="F444" t="s">
        <v>22</v>
      </c>
      <c r="H444" s="2">
        <f>H373+H399+H425</f>
        <v>37500</v>
      </c>
      <c r="I444" s="10"/>
      <c r="J444" s="10"/>
    </row>
    <row r="445" spans="1:10" x14ac:dyDescent="0.25">
      <c r="I445" s="10"/>
      <c r="J445" s="10"/>
    </row>
    <row r="446" spans="1:10" x14ac:dyDescent="0.25">
      <c r="F446" t="s">
        <v>125</v>
      </c>
      <c r="H446" s="2">
        <f>H375+H401+H427</f>
        <v>2091444.86992</v>
      </c>
      <c r="I446" s="10"/>
      <c r="J446" s="10"/>
    </row>
    <row r="447" spans="1:10" x14ac:dyDescent="0.25">
      <c r="F447" t="s">
        <v>126</v>
      </c>
      <c r="H447" s="2">
        <f>H376+H377+H402+H403+H428+H429</f>
        <v>750720.17306880001</v>
      </c>
      <c r="I447" s="10"/>
      <c r="J447" s="10"/>
    </row>
    <row r="448" spans="1:10" x14ac:dyDescent="0.25">
      <c r="F448" t="s">
        <v>24</v>
      </c>
      <c r="H448" s="2">
        <f>H446+H447</f>
        <v>2842165.0429888</v>
      </c>
      <c r="I448" s="10"/>
      <c r="J448" s="10"/>
    </row>
    <row r="449" spans="1:10" x14ac:dyDescent="0.25">
      <c r="A449" s="10"/>
      <c r="B449" s="10"/>
      <c r="C449" s="10"/>
      <c r="D449" s="13"/>
      <c r="E449" s="16"/>
      <c r="F449" s="10"/>
      <c r="G449" s="10"/>
      <c r="H449" s="10"/>
      <c r="I449" s="10"/>
      <c r="J449" s="10"/>
    </row>
    <row r="450" spans="1:10" x14ac:dyDescent="0.25">
      <c r="A450" s="10"/>
      <c r="B450" s="10"/>
      <c r="C450" s="10"/>
      <c r="D450" s="13"/>
      <c r="E450" s="16"/>
      <c r="F450" s="10"/>
      <c r="G450" s="10"/>
      <c r="H450" s="10"/>
      <c r="I450" s="10"/>
      <c r="J450" s="10"/>
    </row>
    <row r="451" spans="1:10" x14ac:dyDescent="0.25">
      <c r="A451" s="10"/>
      <c r="B451" s="10"/>
      <c r="C451" s="10"/>
      <c r="D451" s="13"/>
      <c r="E451" s="16"/>
      <c r="F451" s="10"/>
      <c r="G451" s="10"/>
      <c r="H451" s="10"/>
      <c r="I451" s="10"/>
      <c r="J451" s="10"/>
    </row>
    <row r="454" spans="1:10" x14ac:dyDescent="0.25">
      <c r="A454" s="1" t="s">
        <v>15</v>
      </c>
      <c r="B454" s="1" t="s">
        <v>39</v>
      </c>
      <c r="C454" s="20" t="s">
        <v>40</v>
      </c>
      <c r="D454" s="1" t="s">
        <v>41</v>
      </c>
      <c r="E454" s="1" t="s">
        <v>42</v>
      </c>
      <c r="F454" s="1" t="s">
        <v>43</v>
      </c>
      <c r="G454" s="1" t="s">
        <v>44</v>
      </c>
      <c r="H454" s="1" t="s">
        <v>45</v>
      </c>
    </row>
    <row r="455" spans="1:10" x14ac:dyDescent="0.25">
      <c r="A455" s="1"/>
      <c r="B455" s="1"/>
      <c r="C455" s="1"/>
      <c r="D455" s="1" t="s">
        <v>49</v>
      </c>
      <c r="E455" s="1">
        <f>B18</f>
        <v>13512</v>
      </c>
      <c r="F455" s="17">
        <f>F126</f>
        <v>27024</v>
      </c>
      <c r="G455" s="17">
        <f>F455*0.3</f>
        <v>8107.2</v>
      </c>
      <c r="H455" s="17">
        <f>F455+G455</f>
        <v>35131.199999999997</v>
      </c>
    </row>
    <row r="456" spans="1:10" x14ac:dyDescent="0.25">
      <c r="A456" s="1"/>
      <c r="B456" s="1"/>
      <c r="C456" s="1"/>
      <c r="D456" s="1" t="s">
        <v>77</v>
      </c>
      <c r="E456" s="1">
        <f>B21</f>
        <v>9384</v>
      </c>
      <c r="F456" s="17">
        <f>F184</f>
        <v>18768</v>
      </c>
      <c r="G456" s="17">
        <f>F456*0.3</f>
        <v>5630.4</v>
      </c>
      <c r="H456" s="17">
        <f>F456+G456</f>
        <v>24398.400000000001</v>
      </c>
    </row>
    <row r="457" spans="1:10" x14ac:dyDescent="0.25">
      <c r="A457" s="1"/>
      <c r="B457" s="1"/>
      <c r="C457" s="1"/>
      <c r="D457" s="1"/>
      <c r="E457" s="1"/>
      <c r="F457" s="1"/>
      <c r="G457" s="1" t="s">
        <v>56</v>
      </c>
      <c r="H457" s="17">
        <f>H455+H456</f>
        <v>59529.599999999999</v>
      </c>
    </row>
    <row r="458" spans="1:10" x14ac:dyDescent="0.25">
      <c r="A458" s="1"/>
      <c r="B458" s="1"/>
      <c r="C458" s="1" t="s">
        <v>26</v>
      </c>
      <c r="D458" s="1"/>
      <c r="E458" s="1"/>
      <c r="F458" s="1"/>
      <c r="G458" s="1"/>
      <c r="H458" s="3"/>
    </row>
    <row r="459" spans="1:10" x14ac:dyDescent="0.25">
      <c r="A459" s="1"/>
      <c r="B459" s="1"/>
      <c r="C459" s="1">
        <f>E127+E128+E185+E186</f>
        <v>1.5</v>
      </c>
      <c r="D459" s="1" t="s">
        <v>18</v>
      </c>
      <c r="E459" s="1">
        <f>B27</f>
        <v>54000</v>
      </c>
      <c r="F459" s="18">
        <f>C459*E459</f>
        <v>81000</v>
      </c>
      <c r="G459" s="18">
        <f>F459*0.3</f>
        <v>24300</v>
      </c>
      <c r="H459" s="17">
        <f>F459+G459</f>
        <v>105300</v>
      </c>
    </row>
    <row r="460" spans="1:10" x14ac:dyDescent="0.25">
      <c r="A460" s="1"/>
      <c r="B460" s="1"/>
      <c r="C460" s="1">
        <f>E129+E130+E187+E188</f>
        <v>2</v>
      </c>
      <c r="D460" s="1" t="s">
        <v>19</v>
      </c>
      <c r="E460" s="1">
        <f>B28</f>
        <v>24000</v>
      </c>
      <c r="F460" s="18">
        <f t="shared" ref="F460:F461" si="34">C460*E460</f>
        <v>48000</v>
      </c>
      <c r="G460" s="18">
        <f>F460*0.1</f>
        <v>4800</v>
      </c>
      <c r="H460" s="17">
        <f t="shared" ref="H460:H461" si="35">F460+G460</f>
        <v>52800</v>
      </c>
    </row>
    <row r="461" spans="1:10" x14ac:dyDescent="0.25">
      <c r="A461" s="1"/>
      <c r="B461" s="1"/>
      <c r="C461" s="1">
        <f>E131+E132+E189+E190</f>
        <v>4</v>
      </c>
      <c r="D461" s="1" t="s">
        <v>84</v>
      </c>
      <c r="E461" s="1">
        <f>B25</f>
        <v>5000</v>
      </c>
      <c r="F461" s="18">
        <f t="shared" si="34"/>
        <v>20000</v>
      </c>
      <c r="G461" s="18">
        <f>F461*0.085</f>
        <v>1700.0000000000002</v>
      </c>
      <c r="H461" s="17">
        <f t="shared" si="35"/>
        <v>21700</v>
      </c>
    </row>
    <row r="462" spans="1:10" x14ac:dyDescent="0.25">
      <c r="A462" s="1"/>
      <c r="B462" s="1"/>
      <c r="C462" s="1"/>
      <c r="D462" s="1"/>
      <c r="E462" s="1"/>
      <c r="F462" s="1"/>
      <c r="G462" s="1" t="s">
        <v>57</v>
      </c>
      <c r="H462" s="17">
        <f>SUM(H459:H461)</f>
        <v>179800</v>
      </c>
    </row>
    <row r="463" spans="1:10" x14ac:dyDescent="0.25">
      <c r="A463" s="1"/>
      <c r="B463" s="1"/>
      <c r="C463" s="1"/>
      <c r="D463" s="1"/>
      <c r="E463" s="1"/>
      <c r="F463" s="1"/>
      <c r="G463" s="1" t="s">
        <v>59</v>
      </c>
      <c r="H463" s="3">
        <f>SUM(G459:G461)</f>
        <v>30800</v>
      </c>
    </row>
    <row r="464" spans="1:10" x14ac:dyDescent="0.25">
      <c r="A464" s="1"/>
      <c r="B464" s="1"/>
      <c r="C464" s="1"/>
      <c r="D464" s="1" t="s">
        <v>20</v>
      </c>
      <c r="E464" s="3">
        <f>F134+F192</f>
        <v>20000</v>
      </c>
      <c r="F464" s="1"/>
      <c r="G464" s="1"/>
      <c r="H464" s="3"/>
    </row>
    <row r="465" spans="1:10" x14ac:dyDescent="0.25">
      <c r="A465" s="1"/>
      <c r="B465" s="1"/>
      <c r="C465" s="1"/>
      <c r="D465" s="1" t="s">
        <v>30</v>
      </c>
      <c r="E465" s="3">
        <f>F135+F193</f>
        <v>19350</v>
      </c>
      <c r="F465" s="1"/>
      <c r="G465" s="1" t="s">
        <v>53</v>
      </c>
      <c r="H465" s="17">
        <f>E464+E465</f>
        <v>39350</v>
      </c>
    </row>
    <row r="466" spans="1:10" x14ac:dyDescent="0.25">
      <c r="A466" s="1"/>
      <c r="B466" s="1"/>
      <c r="C466" s="1"/>
      <c r="D466" s="1" t="s">
        <v>21</v>
      </c>
      <c r="E466" s="3">
        <f>F136+F194</f>
        <v>18280</v>
      </c>
      <c r="F466" s="1"/>
      <c r="G466" s="1"/>
      <c r="H466" s="17">
        <f>E466</f>
        <v>18280</v>
      </c>
    </row>
    <row r="467" spans="1:10" x14ac:dyDescent="0.25">
      <c r="A467" s="1"/>
      <c r="B467" s="1"/>
      <c r="C467" s="1"/>
      <c r="D467" s="1" t="s">
        <v>22</v>
      </c>
      <c r="E467" s="3">
        <f>F137+F195</f>
        <v>5000</v>
      </c>
      <c r="F467" s="1"/>
      <c r="G467" s="1"/>
      <c r="H467" s="17">
        <f>E467</f>
        <v>5000</v>
      </c>
    </row>
    <row r="468" spans="1:10" x14ac:dyDescent="0.25">
      <c r="A468" s="1"/>
      <c r="B468" s="1"/>
      <c r="C468" s="1"/>
      <c r="D468" s="1" t="s">
        <v>78</v>
      </c>
      <c r="E468" s="3"/>
      <c r="F468" s="1"/>
      <c r="G468" s="1"/>
      <c r="H468" s="17">
        <f>E468</f>
        <v>0</v>
      </c>
    </row>
    <row r="469" spans="1:10" x14ac:dyDescent="0.25">
      <c r="A469" s="1"/>
      <c r="B469" s="1"/>
      <c r="C469" s="1"/>
      <c r="D469" s="1" t="s">
        <v>51</v>
      </c>
      <c r="E469" s="3"/>
      <c r="F469" s="1"/>
      <c r="G469" s="1"/>
      <c r="H469" s="17">
        <f>H457+H462+H465+H466+H467+H468</f>
        <v>301959.59999999998</v>
      </c>
    </row>
    <row r="470" spans="1:10" x14ac:dyDescent="0.25">
      <c r="A470" s="1"/>
      <c r="B470" s="1"/>
      <c r="C470" s="1"/>
      <c r="D470" s="1" t="s">
        <v>54</v>
      </c>
      <c r="E470" s="3">
        <f>F139+F197</f>
        <v>78436.869000000006</v>
      </c>
      <c r="F470" s="1"/>
      <c r="G470" s="1"/>
      <c r="H470" s="17">
        <f>E470</f>
        <v>78436.869000000006</v>
      </c>
    </row>
    <row r="471" spans="1:10" x14ac:dyDescent="0.25">
      <c r="A471" s="1"/>
      <c r="B471" s="1"/>
      <c r="C471" s="1"/>
      <c r="D471" s="1" t="s">
        <v>55</v>
      </c>
      <c r="E471" s="3">
        <f>F140+F198</f>
        <v>31557.5</v>
      </c>
      <c r="F471" s="1"/>
      <c r="G471" s="1"/>
      <c r="H471" s="17">
        <f>E471</f>
        <v>31557.5</v>
      </c>
      <c r="J471" s="2"/>
    </row>
    <row r="472" spans="1:10" x14ac:dyDescent="0.25">
      <c r="A472" s="1"/>
      <c r="B472" s="1"/>
      <c r="C472" s="1"/>
      <c r="D472" s="1" t="s">
        <v>52</v>
      </c>
      <c r="E472" s="1"/>
      <c r="F472" s="1"/>
      <c r="G472" s="1"/>
      <c r="H472" s="17">
        <f>SUM(H469:H471)</f>
        <v>411953.96899999998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</row>
    <row r="474" spans="1:10" x14ac:dyDescent="0.25">
      <c r="A474" s="1"/>
      <c r="B474" s="1"/>
      <c r="C474" s="1"/>
      <c r="D474" s="1" t="s">
        <v>58</v>
      </c>
      <c r="E474" s="3"/>
      <c r="F474" s="1"/>
      <c r="G474" s="1"/>
      <c r="H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</row>
    <row r="477" spans="1:10" x14ac:dyDescent="0.25">
      <c r="A477" s="1" t="s">
        <v>15</v>
      </c>
      <c r="B477" s="1" t="s">
        <v>39</v>
      </c>
      <c r="C477" s="20" t="s">
        <v>60</v>
      </c>
      <c r="D477" s="1" t="s">
        <v>41</v>
      </c>
      <c r="E477" s="1" t="s">
        <v>42</v>
      </c>
      <c r="F477" s="1" t="s">
        <v>43</v>
      </c>
      <c r="G477" s="1" t="s">
        <v>44</v>
      </c>
      <c r="H477" s="1" t="s">
        <v>45</v>
      </c>
    </row>
    <row r="478" spans="1:10" x14ac:dyDescent="0.25">
      <c r="A478" s="1"/>
      <c r="B478" s="1"/>
      <c r="C478" s="1"/>
      <c r="D478" s="1" t="s">
        <v>49</v>
      </c>
      <c r="E478" s="1">
        <f>B18</f>
        <v>13512</v>
      </c>
      <c r="F478" s="17">
        <f>H126</f>
        <v>27834.720000000001</v>
      </c>
      <c r="G478" s="17">
        <f>F478*0.3</f>
        <v>8350.4159999999993</v>
      </c>
      <c r="H478" s="17">
        <f>F478+G478</f>
        <v>36185.135999999999</v>
      </c>
    </row>
    <row r="479" spans="1:10" x14ac:dyDescent="0.25">
      <c r="A479" s="1"/>
      <c r="B479" s="1"/>
      <c r="C479" s="1"/>
      <c r="D479" s="1" t="s">
        <v>77</v>
      </c>
      <c r="E479" s="1">
        <f>B21</f>
        <v>9384</v>
      </c>
      <c r="F479" s="17">
        <f>H184</f>
        <v>19331.04</v>
      </c>
      <c r="G479" s="17">
        <f>F479*0.3</f>
        <v>5799.3119999999999</v>
      </c>
      <c r="H479" s="17">
        <f>F479+G479</f>
        <v>25130.351999999999</v>
      </c>
    </row>
    <row r="480" spans="1:10" x14ac:dyDescent="0.25">
      <c r="A480" s="1"/>
      <c r="B480" s="1"/>
      <c r="C480" s="1"/>
      <c r="D480" s="1"/>
      <c r="E480" s="1"/>
      <c r="F480" s="1"/>
      <c r="G480" s="1" t="s">
        <v>56</v>
      </c>
      <c r="H480" s="17">
        <f>SUM(H478:H479)</f>
        <v>61315.487999999998</v>
      </c>
    </row>
    <row r="481" spans="1:10" x14ac:dyDescent="0.25">
      <c r="A481" s="1"/>
      <c r="B481" s="1"/>
      <c r="C481" s="1" t="s">
        <v>26</v>
      </c>
      <c r="D481" s="1"/>
      <c r="E481" s="1"/>
      <c r="F481" s="1"/>
      <c r="G481" s="1"/>
      <c r="H481" s="3"/>
    </row>
    <row r="482" spans="1:10" x14ac:dyDescent="0.25">
      <c r="A482" s="1"/>
      <c r="B482" s="1"/>
      <c r="C482" s="5">
        <f>G127+G128+G185+G186</f>
        <v>2</v>
      </c>
      <c r="D482" s="1" t="s">
        <v>18</v>
      </c>
      <c r="E482" s="1">
        <f>B27*B26</f>
        <v>55620</v>
      </c>
      <c r="F482" s="18">
        <f>C482*E482</f>
        <v>111240</v>
      </c>
      <c r="G482" s="18">
        <f>F482*0.3</f>
        <v>33372</v>
      </c>
      <c r="H482" s="17">
        <f>F482+G482</f>
        <v>144612</v>
      </c>
    </row>
    <row r="483" spans="1:10" x14ac:dyDescent="0.25">
      <c r="A483" s="1"/>
      <c r="B483" s="1"/>
      <c r="C483" s="5">
        <f>G129+G130+G187+G188</f>
        <v>2</v>
      </c>
      <c r="D483" s="1" t="s">
        <v>19</v>
      </c>
      <c r="E483" s="1">
        <f>B28*B26</f>
        <v>24720</v>
      </c>
      <c r="F483" s="18">
        <f t="shared" ref="F483:F484" si="36">C483*E483</f>
        <v>49440</v>
      </c>
      <c r="G483" s="18">
        <f>F483*0.1</f>
        <v>4944</v>
      </c>
      <c r="H483" s="17">
        <f t="shared" ref="H483:H484" si="37">F483+G483</f>
        <v>54384</v>
      </c>
    </row>
    <row r="484" spans="1:10" x14ac:dyDescent="0.25">
      <c r="A484" s="1"/>
      <c r="B484" s="1"/>
      <c r="C484" s="5">
        <f>G131+G132+G189+G190</f>
        <v>4</v>
      </c>
      <c r="D484" s="1" t="s">
        <v>84</v>
      </c>
      <c r="E484" s="1">
        <f>B25</f>
        <v>5000</v>
      </c>
      <c r="F484" s="18">
        <f t="shared" si="36"/>
        <v>20000</v>
      </c>
      <c r="G484" s="18">
        <f>F484*0.085</f>
        <v>1700.0000000000002</v>
      </c>
      <c r="H484" s="17">
        <f t="shared" si="37"/>
        <v>21700</v>
      </c>
    </row>
    <row r="485" spans="1:10" x14ac:dyDescent="0.25">
      <c r="A485" s="1"/>
      <c r="B485" s="1"/>
      <c r="C485" s="1"/>
      <c r="D485" s="1"/>
      <c r="E485" s="1"/>
      <c r="F485" s="1"/>
      <c r="G485" s="1" t="s">
        <v>57</v>
      </c>
      <c r="H485" s="17">
        <f>SUM(H482:H484)</f>
        <v>220696</v>
      </c>
    </row>
    <row r="486" spans="1:10" x14ac:dyDescent="0.25">
      <c r="A486" s="1"/>
      <c r="B486" s="1"/>
      <c r="C486" s="1"/>
      <c r="D486" s="1"/>
      <c r="E486" s="1"/>
      <c r="F486" s="1"/>
      <c r="G486" s="1" t="s">
        <v>59</v>
      </c>
      <c r="H486" s="3">
        <f>SUM(G478:G479)+SUM(G482:G484)</f>
        <v>54165.728000000003</v>
      </c>
    </row>
    <row r="487" spans="1:10" x14ac:dyDescent="0.25">
      <c r="A487" s="1"/>
      <c r="B487" s="1"/>
      <c r="C487" s="1"/>
      <c r="D487" s="1" t="s">
        <v>20</v>
      </c>
      <c r="E487" s="3">
        <f>H134+H192</f>
        <v>20000</v>
      </c>
      <c r="F487" s="1"/>
      <c r="G487" s="1"/>
      <c r="H487" s="3"/>
    </row>
    <row r="488" spans="1:10" x14ac:dyDescent="0.25">
      <c r="A488" s="1"/>
      <c r="B488" s="1"/>
      <c r="C488" s="1"/>
      <c r="D488" s="1" t="s">
        <v>30</v>
      </c>
      <c r="E488" s="3">
        <f>H135+H193</f>
        <v>36600</v>
      </c>
      <c r="F488" s="1"/>
      <c r="G488" s="1" t="s">
        <v>53</v>
      </c>
      <c r="H488" s="17">
        <f>E487+E488</f>
        <v>56600</v>
      </c>
    </row>
    <row r="489" spans="1:10" x14ac:dyDescent="0.25">
      <c r="A489" s="1"/>
      <c r="B489" s="1"/>
      <c r="C489" s="1"/>
      <c r="D489" s="1" t="s">
        <v>21</v>
      </c>
      <c r="E489" s="3">
        <f>H136+H194</f>
        <v>18280</v>
      </c>
      <c r="F489" s="1"/>
      <c r="G489" s="1"/>
      <c r="H489" s="17">
        <f>E489</f>
        <v>18280</v>
      </c>
    </row>
    <row r="490" spans="1:10" x14ac:dyDescent="0.25">
      <c r="A490" s="1"/>
      <c r="B490" s="1"/>
      <c r="C490" s="1"/>
      <c r="D490" s="1" t="s">
        <v>22</v>
      </c>
      <c r="E490" s="3">
        <f>H137+H195</f>
        <v>5000</v>
      </c>
      <c r="F490" s="1"/>
      <c r="G490" s="1"/>
      <c r="H490" s="17">
        <f>E490</f>
        <v>5000</v>
      </c>
    </row>
    <row r="491" spans="1:10" x14ac:dyDescent="0.25">
      <c r="A491" s="1"/>
      <c r="B491" s="1"/>
      <c r="C491" s="1"/>
      <c r="D491" s="1" t="s">
        <v>78</v>
      </c>
      <c r="E491" s="3"/>
      <c r="F491" s="1"/>
      <c r="G491" s="1"/>
      <c r="H491" s="17">
        <f>E491</f>
        <v>0</v>
      </c>
    </row>
    <row r="492" spans="1:10" x14ac:dyDescent="0.25">
      <c r="A492" s="1"/>
      <c r="B492" s="1"/>
      <c r="C492" s="1"/>
      <c r="D492" s="1" t="s">
        <v>51</v>
      </c>
      <c r="E492" s="3"/>
      <c r="F492" s="1"/>
      <c r="G492" s="1"/>
      <c r="H492" s="17">
        <f>H480+H485+H488+H489+H490+H491</f>
        <v>361891.48800000001</v>
      </c>
    </row>
    <row r="493" spans="1:10" x14ac:dyDescent="0.25">
      <c r="A493" s="1"/>
      <c r="B493" s="1"/>
      <c r="C493" s="1"/>
      <c r="D493" s="1" t="s">
        <v>54</v>
      </c>
      <c r="E493" s="3">
        <f>H139+H197</f>
        <v>61687.981320000006</v>
      </c>
      <c r="F493" s="1"/>
      <c r="G493" s="1"/>
      <c r="H493" s="17">
        <f>E493</f>
        <v>61687.981320000006</v>
      </c>
    </row>
    <row r="494" spans="1:10" x14ac:dyDescent="0.25">
      <c r="A494" s="1"/>
      <c r="B494" s="1"/>
      <c r="C494" s="1"/>
      <c r="D494" s="1" t="s">
        <v>55</v>
      </c>
      <c r="E494" s="3">
        <f>H140+H198</f>
        <v>55595.54</v>
      </c>
      <c r="F494" s="1"/>
      <c r="G494" s="1"/>
      <c r="H494" s="17">
        <f>E494</f>
        <v>55595.54</v>
      </c>
      <c r="J494" s="2"/>
    </row>
    <row r="495" spans="1:10" x14ac:dyDescent="0.25">
      <c r="A495" s="1"/>
      <c r="B495" s="1"/>
      <c r="C495" s="1"/>
      <c r="D495" s="1" t="s">
        <v>52</v>
      </c>
      <c r="E495" s="1"/>
      <c r="F495" s="1"/>
      <c r="G495" s="1"/>
      <c r="H495" s="17">
        <f>SUM(H492:H494)</f>
        <v>479175.00932000001</v>
      </c>
    </row>
    <row r="496" spans="1:10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 t="s">
        <v>58</v>
      </c>
      <c r="E497" s="3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 t="s">
        <v>15</v>
      </c>
      <c r="B500" s="1" t="s">
        <v>39</v>
      </c>
      <c r="C500" s="20" t="s">
        <v>61</v>
      </c>
      <c r="D500" s="1" t="s">
        <v>41</v>
      </c>
      <c r="E500" s="1" t="s">
        <v>42</v>
      </c>
      <c r="F500" s="1" t="s">
        <v>43</v>
      </c>
      <c r="G500" s="1" t="s">
        <v>44</v>
      </c>
      <c r="H500" s="1" t="s">
        <v>45</v>
      </c>
    </row>
    <row r="501" spans="1:8" x14ac:dyDescent="0.25">
      <c r="A501" s="1"/>
      <c r="B501" s="1"/>
      <c r="C501" s="1"/>
      <c r="D501" s="1" t="s">
        <v>49</v>
      </c>
      <c r="E501" s="1">
        <f>B18</f>
        <v>13512</v>
      </c>
      <c r="F501" s="17">
        <f>J126</f>
        <v>28669.761600000002</v>
      </c>
      <c r="G501" s="17">
        <f>F501*0.3</f>
        <v>8600.9284800000005</v>
      </c>
      <c r="H501" s="17">
        <f>F501+G501</f>
        <v>37270.69008</v>
      </c>
    </row>
    <row r="502" spans="1:8" x14ac:dyDescent="0.25">
      <c r="A502" s="1"/>
      <c r="B502" s="1"/>
      <c r="C502" s="1"/>
      <c r="D502" s="1" t="s">
        <v>77</v>
      </c>
      <c r="E502" s="1">
        <f>B21</f>
        <v>9384</v>
      </c>
      <c r="F502" s="17">
        <f>J184</f>
        <v>19910.9712</v>
      </c>
      <c r="G502" s="17">
        <f>F502*0.3</f>
        <v>5973.2913600000002</v>
      </c>
      <c r="H502" s="17">
        <f>F502+G502</f>
        <v>25884.262559999999</v>
      </c>
    </row>
    <row r="503" spans="1:8" x14ac:dyDescent="0.25">
      <c r="A503" s="1"/>
      <c r="B503" s="1"/>
      <c r="C503" s="1"/>
      <c r="D503" s="1"/>
      <c r="E503" s="1"/>
      <c r="F503" s="1"/>
      <c r="G503" s="1" t="s">
        <v>56</v>
      </c>
      <c r="H503" s="17">
        <f>SUM(H501:H502)</f>
        <v>63154.952640000003</v>
      </c>
    </row>
    <row r="504" spans="1:8" x14ac:dyDescent="0.25">
      <c r="A504" s="1"/>
      <c r="B504" s="1"/>
      <c r="C504" s="1" t="s">
        <v>26</v>
      </c>
      <c r="D504" s="1"/>
      <c r="E504" s="1"/>
      <c r="F504" s="1"/>
      <c r="G504" s="1"/>
      <c r="H504" s="3"/>
    </row>
    <row r="505" spans="1:8" x14ac:dyDescent="0.25">
      <c r="A505" s="1"/>
      <c r="B505" s="1"/>
      <c r="C505" s="5">
        <f>I127+I128+I185+I186</f>
        <v>2</v>
      </c>
      <c r="D505" s="1" t="s">
        <v>18</v>
      </c>
      <c r="E505" s="1">
        <f>B27*B26*B26</f>
        <v>57288.6</v>
      </c>
      <c r="F505" s="18">
        <f>C505*E505</f>
        <v>114577.2</v>
      </c>
      <c r="G505" s="18">
        <f>F505*0.3</f>
        <v>34373.159999999996</v>
      </c>
      <c r="H505" s="17">
        <f>F505+G505</f>
        <v>148950.35999999999</v>
      </c>
    </row>
    <row r="506" spans="1:8" x14ac:dyDescent="0.25">
      <c r="A506" s="1"/>
      <c r="B506" s="1"/>
      <c r="C506" s="5">
        <f>I129+I130+I187+I188</f>
        <v>2</v>
      </c>
      <c r="D506" s="1" t="s">
        <v>19</v>
      </c>
      <c r="E506" s="1">
        <f>B28*B26*B26</f>
        <v>25461.600000000002</v>
      </c>
      <c r="F506" s="18">
        <f t="shared" ref="F506:F507" si="38">C506*E506</f>
        <v>50923.200000000004</v>
      </c>
      <c r="G506" s="18">
        <f>F506*0.1</f>
        <v>5092.3200000000006</v>
      </c>
      <c r="H506" s="17">
        <f t="shared" ref="H506:H507" si="39">F506+G506</f>
        <v>56015.520000000004</v>
      </c>
    </row>
    <row r="507" spans="1:8" x14ac:dyDescent="0.25">
      <c r="A507" s="1"/>
      <c r="B507" s="1"/>
      <c r="C507" s="5">
        <f>I131+I132+I189+I190</f>
        <v>4</v>
      </c>
      <c r="D507" s="1" t="s">
        <v>84</v>
      </c>
      <c r="E507" s="1">
        <f>B25</f>
        <v>5000</v>
      </c>
      <c r="F507" s="18">
        <f t="shared" si="38"/>
        <v>20000</v>
      </c>
      <c r="G507" s="18">
        <f>F507*0.085</f>
        <v>1700.0000000000002</v>
      </c>
      <c r="H507" s="17">
        <f t="shared" si="39"/>
        <v>21700</v>
      </c>
    </row>
    <row r="508" spans="1:8" x14ac:dyDescent="0.25">
      <c r="A508" s="1"/>
      <c r="B508" s="1"/>
      <c r="C508" s="1"/>
      <c r="D508" s="1"/>
      <c r="E508" s="1"/>
      <c r="F508" s="1"/>
      <c r="G508" s="1" t="s">
        <v>57</v>
      </c>
      <c r="H508" s="17">
        <f>SUM(H505:H507)</f>
        <v>226665.88</v>
      </c>
    </row>
    <row r="509" spans="1:8" x14ac:dyDescent="0.25">
      <c r="A509" s="1"/>
      <c r="B509" s="1"/>
      <c r="C509" s="1"/>
      <c r="D509" s="1"/>
      <c r="E509" s="1"/>
      <c r="F509" s="1"/>
      <c r="G509" s="1" t="s">
        <v>59</v>
      </c>
      <c r="H509" s="3">
        <f>SUM(G501:G502)+SUM(G505:G507)</f>
        <v>55739.699840000001</v>
      </c>
    </row>
    <row r="510" spans="1:8" x14ac:dyDescent="0.25">
      <c r="A510" s="1"/>
      <c r="B510" s="1"/>
      <c r="C510" s="1"/>
      <c r="D510" s="1" t="s">
        <v>20</v>
      </c>
      <c r="E510" s="3">
        <f>J134+J192</f>
        <v>20000</v>
      </c>
      <c r="F510" s="1"/>
      <c r="G510" s="1"/>
      <c r="H510" s="3"/>
    </row>
    <row r="511" spans="1:8" x14ac:dyDescent="0.25">
      <c r="A511" s="1"/>
      <c r="B511" s="1"/>
      <c r="C511" s="1"/>
      <c r="D511" s="1" t="s">
        <v>30</v>
      </c>
      <c r="E511" s="3">
        <f>J135+J193</f>
        <v>40200</v>
      </c>
      <c r="F511" s="1"/>
      <c r="G511" s="1" t="s">
        <v>53</v>
      </c>
      <c r="H511" s="17">
        <f>E510+E511</f>
        <v>60200</v>
      </c>
    </row>
    <row r="512" spans="1:8" x14ac:dyDescent="0.25">
      <c r="A512" s="1"/>
      <c r="B512" s="1"/>
      <c r="C512" s="1"/>
      <c r="D512" s="1" t="s">
        <v>21</v>
      </c>
      <c r="E512" s="3">
        <f>J136+J194</f>
        <v>18280</v>
      </c>
      <c r="F512" s="1"/>
      <c r="G512" s="1"/>
      <c r="H512" s="17">
        <f>E512</f>
        <v>18280</v>
      </c>
    </row>
    <row r="513" spans="1:10" x14ac:dyDescent="0.25">
      <c r="A513" s="1"/>
      <c r="B513" s="1"/>
      <c r="C513" s="1"/>
      <c r="D513" s="1" t="s">
        <v>22</v>
      </c>
      <c r="E513" s="3">
        <f>J137+J195</f>
        <v>5000</v>
      </c>
      <c r="F513" s="1"/>
      <c r="G513" s="1"/>
      <c r="H513" s="17">
        <f>E513</f>
        <v>5000</v>
      </c>
    </row>
    <row r="514" spans="1:10" x14ac:dyDescent="0.25">
      <c r="A514" s="1"/>
      <c r="B514" s="1"/>
      <c r="C514" s="1"/>
      <c r="D514" s="1" t="s">
        <v>78</v>
      </c>
      <c r="E514" s="3"/>
      <c r="F514" s="1"/>
      <c r="G514" s="1"/>
      <c r="H514" s="17">
        <f>E514</f>
        <v>0</v>
      </c>
    </row>
    <row r="515" spans="1:10" x14ac:dyDescent="0.25">
      <c r="A515" s="1"/>
      <c r="B515" s="1"/>
      <c r="C515" s="1"/>
      <c r="D515" s="1" t="s">
        <v>51</v>
      </c>
      <c r="E515" s="3"/>
      <c r="F515" s="1"/>
      <c r="G515" s="1"/>
      <c r="H515" s="17">
        <f>H503+H508+H511+H512+H513+H514</f>
        <v>373300.83264000004</v>
      </c>
    </row>
    <row r="516" spans="1:10" x14ac:dyDescent="0.25">
      <c r="A516" s="1"/>
      <c r="B516" s="1"/>
      <c r="C516" s="1"/>
      <c r="D516" s="1" t="s">
        <v>54</v>
      </c>
      <c r="E516" s="3">
        <f>J139+J197</f>
        <v>48631.425609600003</v>
      </c>
      <c r="F516" s="1"/>
      <c r="G516" s="1"/>
      <c r="H516" s="17">
        <f>E516</f>
        <v>48631.425609600003</v>
      </c>
    </row>
    <row r="517" spans="1:10" x14ac:dyDescent="0.25">
      <c r="A517" s="1"/>
      <c r="B517" s="1"/>
      <c r="C517" s="1"/>
      <c r="D517" s="1" t="s">
        <v>55</v>
      </c>
      <c r="E517" s="3">
        <f>J140+J198</f>
        <v>65153.628800000013</v>
      </c>
      <c r="F517" s="1"/>
      <c r="G517" s="1"/>
      <c r="H517" s="17">
        <f>E517</f>
        <v>65153.628800000013</v>
      </c>
      <c r="J517" s="2"/>
    </row>
    <row r="518" spans="1:10" x14ac:dyDescent="0.25">
      <c r="A518" s="1"/>
      <c r="B518" s="1"/>
      <c r="C518" s="1"/>
      <c r="D518" s="1" t="s">
        <v>52</v>
      </c>
      <c r="E518" s="1"/>
      <c r="F518" s="1"/>
      <c r="G518" s="1"/>
      <c r="H518" s="17">
        <f>SUM(H515:H517)</f>
        <v>487085.88704960007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</row>
    <row r="520" spans="1:10" x14ac:dyDescent="0.25">
      <c r="A520" s="1"/>
      <c r="B520" s="1"/>
      <c r="C520" s="1"/>
      <c r="D520" s="1" t="s">
        <v>58</v>
      </c>
      <c r="E520" s="3"/>
      <c r="F520" s="1"/>
      <c r="G520" s="1"/>
      <c r="H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</row>
    <row r="522" spans="1:10" x14ac:dyDescent="0.25">
      <c r="A522" s="3" t="s">
        <v>15</v>
      </c>
      <c r="B522" s="3" t="s">
        <v>39</v>
      </c>
      <c r="C522" s="21" t="s">
        <v>127</v>
      </c>
      <c r="F522" t="s">
        <v>118</v>
      </c>
      <c r="H522" s="2">
        <f>H457+H480+H503</f>
        <v>184000.04063999999</v>
      </c>
    </row>
    <row r="523" spans="1:10" x14ac:dyDescent="0.25">
      <c r="F523" t="s">
        <v>120</v>
      </c>
      <c r="H523" s="2">
        <f>H462+H485+H508</f>
        <v>627161.88</v>
      </c>
    </row>
    <row r="524" spans="1:10" x14ac:dyDescent="0.25">
      <c r="F524" t="s">
        <v>121</v>
      </c>
      <c r="H524" s="4">
        <f>SUM(C459:C461)+SUM(C482:C484)+SUM(C505:C507)</f>
        <v>23.5</v>
      </c>
    </row>
    <row r="525" spans="1:10" x14ac:dyDescent="0.25">
      <c r="F525" t="s">
        <v>122</v>
      </c>
      <c r="H525" s="2">
        <f>H522+H523</f>
        <v>811161.92064000003</v>
      </c>
    </row>
    <row r="527" spans="1:10" x14ac:dyDescent="0.25">
      <c r="F527" t="s">
        <v>123</v>
      </c>
      <c r="H527">
        <f>H465/2 + H488/2 + H511/2</f>
        <v>78075</v>
      </c>
    </row>
    <row r="528" spans="1:10" x14ac:dyDescent="0.25">
      <c r="F528" t="s">
        <v>124</v>
      </c>
      <c r="H528">
        <f>H465/2 + H488/2 + H511/2</f>
        <v>78075</v>
      </c>
    </row>
    <row r="530" spans="1:10" x14ac:dyDescent="0.25">
      <c r="F530" t="s">
        <v>21</v>
      </c>
      <c r="H530" s="2">
        <f>H466+H489+H512</f>
        <v>54840</v>
      </c>
    </row>
    <row r="532" spans="1:10" x14ac:dyDescent="0.25">
      <c r="F532" t="s">
        <v>22</v>
      </c>
      <c r="H532" s="2">
        <f>H467+H490+H513</f>
        <v>15000</v>
      </c>
    </row>
    <row r="534" spans="1:10" x14ac:dyDescent="0.25">
      <c r="F534" t="s">
        <v>125</v>
      </c>
      <c r="H534" s="2">
        <f>H469+H492+H515</f>
        <v>1037151.92064</v>
      </c>
    </row>
    <row r="535" spans="1:10" x14ac:dyDescent="0.25">
      <c r="F535" t="s">
        <v>126</v>
      </c>
      <c r="H535" s="2">
        <f>H470+H471+H493+H494+H516+H517</f>
        <v>341062.94472960004</v>
      </c>
    </row>
    <row r="536" spans="1:10" x14ac:dyDescent="0.25">
      <c r="F536" t="s">
        <v>24</v>
      </c>
      <c r="H536" s="2">
        <f>H534+H535</f>
        <v>1378214.8653696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</row>
    <row r="541" spans="1:10" x14ac:dyDescent="0.25">
      <c r="A541" s="1"/>
    </row>
    <row r="542" spans="1:10" x14ac:dyDescent="0.25">
      <c r="A542" s="3" t="s">
        <v>75</v>
      </c>
      <c r="B542" s="3" t="s">
        <v>39</v>
      </c>
      <c r="C542" s="21" t="s">
        <v>40</v>
      </c>
      <c r="D542" s="3" t="s">
        <v>41</v>
      </c>
      <c r="E542" s="3" t="s">
        <v>42</v>
      </c>
      <c r="F542" s="3" t="s">
        <v>43</v>
      </c>
      <c r="G542" s="3" t="s">
        <v>44</v>
      </c>
      <c r="H542" s="3" t="s">
        <v>45</v>
      </c>
      <c r="I542" s="3"/>
      <c r="J542" s="3"/>
    </row>
    <row r="543" spans="1:10" x14ac:dyDescent="0.25">
      <c r="A543" s="3"/>
      <c r="B543" s="3"/>
      <c r="C543" s="3"/>
      <c r="D543" s="3" t="s">
        <v>48</v>
      </c>
      <c r="E543" s="3">
        <f>B17</f>
        <v>12294</v>
      </c>
      <c r="F543" s="17">
        <f>F106</f>
        <v>12294</v>
      </c>
      <c r="G543" s="17">
        <f>F543*0.3</f>
        <v>3688.2</v>
      </c>
      <c r="H543" s="17">
        <f>F543+G543</f>
        <v>15982.2</v>
      </c>
      <c r="I543" s="3"/>
      <c r="J543" s="3"/>
    </row>
    <row r="544" spans="1:10" x14ac:dyDescent="0.25">
      <c r="A544" s="3"/>
      <c r="B544" s="3"/>
      <c r="C544" s="3"/>
      <c r="D544" s="3" t="s">
        <v>77</v>
      </c>
      <c r="E544" s="3">
        <f>B21</f>
        <v>9384</v>
      </c>
      <c r="F544" s="17">
        <f>F203</f>
        <v>0</v>
      </c>
      <c r="G544" s="17">
        <f t="shared" ref="G544:G546" si="40">F544*0.3</f>
        <v>0</v>
      </c>
      <c r="H544" s="17">
        <f t="shared" ref="H544:H546" si="41">F544+G544</f>
        <v>0</v>
      </c>
      <c r="I544" s="3"/>
      <c r="J544" s="3"/>
    </row>
    <row r="545" spans="1:10" x14ac:dyDescent="0.25">
      <c r="A545" s="3"/>
      <c r="B545" s="3"/>
      <c r="C545" s="3"/>
      <c r="D545" s="3" t="s">
        <v>103</v>
      </c>
      <c r="E545" s="3">
        <f>B22</f>
        <v>28650</v>
      </c>
      <c r="F545" s="17">
        <f>F241</f>
        <v>0</v>
      </c>
      <c r="G545" s="17">
        <f t="shared" si="40"/>
        <v>0</v>
      </c>
      <c r="H545" s="17">
        <f t="shared" si="41"/>
        <v>0</v>
      </c>
      <c r="I545" s="3"/>
      <c r="J545" s="3"/>
    </row>
    <row r="546" spans="1:10" x14ac:dyDescent="0.25">
      <c r="A546" s="3"/>
      <c r="B546" s="3"/>
      <c r="C546" s="3"/>
      <c r="D546" s="3" t="s">
        <v>104</v>
      </c>
      <c r="E546" s="3">
        <f>B23</f>
        <v>9444</v>
      </c>
      <c r="F546" s="17">
        <f>F222</f>
        <v>0</v>
      </c>
      <c r="G546" s="17">
        <f t="shared" si="40"/>
        <v>0</v>
      </c>
      <c r="H546" s="17">
        <f t="shared" si="41"/>
        <v>0</v>
      </c>
      <c r="I546" s="3"/>
      <c r="J546" s="3"/>
    </row>
    <row r="547" spans="1:10" x14ac:dyDescent="0.25">
      <c r="A547" s="3"/>
      <c r="B547" s="3"/>
      <c r="C547" s="3"/>
      <c r="D547" s="3"/>
      <c r="E547" s="3"/>
      <c r="F547" s="3"/>
      <c r="G547" s="3" t="s">
        <v>56</v>
      </c>
      <c r="H547" s="17">
        <f>SUM(H543:H546)</f>
        <v>15982.2</v>
      </c>
      <c r="I547" s="3"/>
      <c r="J547" s="3"/>
    </row>
    <row r="548" spans="1:10" x14ac:dyDescent="0.25">
      <c r="A548" s="3"/>
      <c r="B548" s="3"/>
      <c r="C548" s="3" t="s">
        <v>26</v>
      </c>
      <c r="D548" s="3"/>
      <c r="E548" s="3"/>
      <c r="F548" s="3"/>
      <c r="G548" s="3"/>
      <c r="H548" s="3"/>
      <c r="I548" s="3"/>
      <c r="J548" s="3"/>
    </row>
    <row r="549" spans="1:10" x14ac:dyDescent="0.25">
      <c r="A549" s="3"/>
      <c r="B549" s="3"/>
      <c r="C549" s="3">
        <f>E107+E108 + E204 + E205+E242+E243+E223+E224</f>
        <v>0.5</v>
      </c>
      <c r="D549" s="3" t="s">
        <v>18</v>
      </c>
      <c r="E549" s="3">
        <f>B27</f>
        <v>54000</v>
      </c>
      <c r="F549" s="22">
        <f>C549*E549</f>
        <v>27000</v>
      </c>
      <c r="G549" s="22">
        <f>F549*0.3</f>
        <v>8100</v>
      </c>
      <c r="H549" s="22">
        <f>F549+G549</f>
        <v>35100</v>
      </c>
      <c r="I549" s="3"/>
      <c r="J549" s="3"/>
    </row>
    <row r="550" spans="1:10" x14ac:dyDescent="0.25">
      <c r="A550" s="3"/>
      <c r="B550" s="3"/>
      <c r="C550" s="3">
        <f>E109+E110+E206+E207+E244+E245+E225+E226</f>
        <v>1</v>
      </c>
      <c r="D550" s="3" t="s">
        <v>19</v>
      </c>
      <c r="E550" s="3">
        <f>B28</f>
        <v>24000</v>
      </c>
      <c r="F550" s="22">
        <f t="shared" ref="F550:F551" si="42">C550*E550</f>
        <v>24000</v>
      </c>
      <c r="G550" s="17">
        <f>F550*0.1</f>
        <v>2400</v>
      </c>
      <c r="H550" s="22">
        <f t="shared" ref="H550:H551" si="43">F550+G550</f>
        <v>26400</v>
      </c>
      <c r="I550" s="3"/>
      <c r="J550" s="3"/>
    </row>
    <row r="551" spans="1:10" x14ac:dyDescent="0.25">
      <c r="A551" s="3"/>
      <c r="B551" s="3"/>
      <c r="C551" s="3">
        <f>E111+E112+E208+E209+E246+E247+E227+E228</f>
        <v>2</v>
      </c>
      <c r="D551" s="3" t="s">
        <v>84</v>
      </c>
      <c r="E551" s="3">
        <f>B25</f>
        <v>5000</v>
      </c>
      <c r="F551" s="22">
        <f t="shared" si="42"/>
        <v>10000</v>
      </c>
      <c r="G551" s="17">
        <f>F551*0.085</f>
        <v>850.00000000000011</v>
      </c>
      <c r="H551" s="22">
        <f t="shared" si="43"/>
        <v>10850</v>
      </c>
      <c r="I551" s="3"/>
      <c r="J551" s="3"/>
    </row>
    <row r="552" spans="1:10" x14ac:dyDescent="0.25">
      <c r="A552" s="3"/>
      <c r="B552" s="3"/>
      <c r="C552" s="3"/>
      <c r="D552" s="3"/>
      <c r="E552" s="3"/>
      <c r="F552" s="3"/>
      <c r="G552" s="3" t="s">
        <v>57</v>
      </c>
      <c r="H552" s="17">
        <f>SUM(H549:H551)</f>
        <v>72350</v>
      </c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 t="s">
        <v>59</v>
      </c>
      <c r="H553" s="3">
        <f>G543+SUM(G549:G551)</f>
        <v>15038.2</v>
      </c>
      <c r="I553" s="3"/>
      <c r="J553" s="3"/>
    </row>
    <row r="554" spans="1:10" x14ac:dyDescent="0.25">
      <c r="A554" s="3"/>
      <c r="B554" s="3"/>
      <c r="C554" s="3"/>
      <c r="D554" s="3" t="s">
        <v>20</v>
      </c>
      <c r="E554" s="3">
        <f>F114+F211+F249+F230</f>
        <v>0</v>
      </c>
      <c r="F554" s="3"/>
      <c r="G554" s="3"/>
      <c r="H554" s="3"/>
      <c r="I554" s="3"/>
      <c r="J554" s="3"/>
    </row>
    <row r="555" spans="1:10" x14ac:dyDescent="0.25">
      <c r="A555" s="3"/>
      <c r="B555" s="3"/>
      <c r="C555" s="3"/>
      <c r="D555" s="3" t="s">
        <v>30</v>
      </c>
      <c r="E555" s="3">
        <f>F115</f>
        <v>0</v>
      </c>
      <c r="F555" s="3"/>
      <c r="G555" s="3" t="s">
        <v>53</v>
      </c>
      <c r="H555" s="17">
        <f>E554+E555</f>
        <v>0</v>
      </c>
      <c r="I555" s="3"/>
      <c r="J555" s="3"/>
    </row>
    <row r="556" spans="1:10" x14ac:dyDescent="0.25">
      <c r="A556" s="3"/>
      <c r="B556" s="3"/>
      <c r="C556" s="3"/>
      <c r="D556" s="3" t="s">
        <v>21</v>
      </c>
      <c r="E556" s="3">
        <f>F116+F213+F251+F232</f>
        <v>9140</v>
      </c>
      <c r="F556" s="3"/>
      <c r="G556" s="3"/>
      <c r="H556" s="17">
        <f>E556</f>
        <v>9140</v>
      </c>
      <c r="I556" s="3"/>
      <c r="J556" s="3"/>
    </row>
    <row r="557" spans="1:10" x14ac:dyDescent="0.25">
      <c r="A557" s="3"/>
      <c r="B557" s="3"/>
      <c r="C557" s="3"/>
      <c r="D557" s="3" t="s">
        <v>22</v>
      </c>
      <c r="E557" s="3">
        <f>F117+F214+F252+F233</f>
        <v>18500</v>
      </c>
      <c r="F557" s="3"/>
      <c r="G557" s="3"/>
      <c r="H557" s="17">
        <f t="shared" ref="H557:H558" si="44">E557</f>
        <v>18500</v>
      </c>
      <c r="I557" s="3"/>
      <c r="J557" s="3"/>
    </row>
    <row r="558" spans="1:10" x14ac:dyDescent="0.25">
      <c r="A558" s="3"/>
      <c r="B558" s="3"/>
      <c r="C558" s="3"/>
      <c r="D558" s="3" t="s">
        <v>78</v>
      </c>
      <c r="E558" s="3">
        <f>F118</f>
        <v>0</v>
      </c>
      <c r="F558" s="3"/>
      <c r="G558" s="3"/>
      <c r="H558" s="17">
        <f t="shared" si="44"/>
        <v>0</v>
      </c>
      <c r="I558" s="3"/>
      <c r="J558" s="3"/>
    </row>
    <row r="559" spans="1:10" x14ac:dyDescent="0.25">
      <c r="A559" s="3"/>
      <c r="B559" s="3"/>
      <c r="C559" s="3"/>
      <c r="D559" s="3" t="s">
        <v>51</v>
      </c>
      <c r="E559" s="3"/>
      <c r="F559" s="3"/>
      <c r="G559" s="3"/>
      <c r="H559" s="17">
        <f>H547+H552+H555+H556+H557+H558</f>
        <v>115972.2</v>
      </c>
      <c r="I559" s="3"/>
      <c r="J559" s="3"/>
    </row>
    <row r="560" spans="1:10" x14ac:dyDescent="0.25">
      <c r="A560" s="3"/>
      <c r="B560" s="3"/>
      <c r="C560" s="3"/>
      <c r="D560" s="3" t="s">
        <v>54</v>
      </c>
      <c r="E560" s="3">
        <f>F120+F216+F254+F235</f>
        <v>56125.832999999999</v>
      </c>
      <c r="F560" s="3"/>
      <c r="G560" s="3"/>
      <c r="H560" s="17">
        <f>E560</f>
        <v>56125.832999999999</v>
      </c>
      <c r="I560" s="3"/>
      <c r="J560" s="3"/>
    </row>
    <row r="561" spans="1:10" x14ac:dyDescent="0.25">
      <c r="A561" s="3"/>
      <c r="B561" s="3"/>
      <c r="C561" s="3"/>
      <c r="D561" s="3" t="s">
        <v>55</v>
      </c>
      <c r="E561" s="3">
        <f>F121+F217+F255+F236</f>
        <v>0</v>
      </c>
      <c r="F561" s="3"/>
      <c r="G561" s="3"/>
      <c r="H561" s="17">
        <f>E561</f>
        <v>0</v>
      </c>
      <c r="I561" s="3"/>
      <c r="J561" s="3"/>
    </row>
    <row r="562" spans="1:10" x14ac:dyDescent="0.25">
      <c r="A562" s="3"/>
      <c r="B562" s="3"/>
      <c r="C562" s="3"/>
      <c r="D562" s="3" t="s">
        <v>52</v>
      </c>
      <c r="E562" s="3"/>
      <c r="F562" s="3"/>
      <c r="G562" s="3"/>
      <c r="H562" s="17">
        <f>SUM(H559:H561)</f>
        <v>172098.033</v>
      </c>
      <c r="I562" s="3"/>
      <c r="J562" s="3"/>
    </row>
    <row r="563" spans="1:1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/>
      <c r="D564" s="3" t="s">
        <v>58</v>
      </c>
      <c r="E564" s="3"/>
      <c r="F564" s="3"/>
      <c r="G564" s="3"/>
      <c r="H564" s="3"/>
      <c r="I564" s="3"/>
      <c r="J564" s="3"/>
    </row>
    <row r="565" spans="1:1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3" t="s">
        <v>75</v>
      </c>
      <c r="B567" s="3" t="s">
        <v>39</v>
      </c>
      <c r="C567" s="21" t="s">
        <v>60</v>
      </c>
      <c r="D567" s="3" t="s">
        <v>41</v>
      </c>
      <c r="E567" s="3" t="s">
        <v>42</v>
      </c>
      <c r="F567" s="3" t="s">
        <v>43</v>
      </c>
      <c r="G567" s="3" t="s">
        <v>44</v>
      </c>
      <c r="H567" s="3" t="s">
        <v>45</v>
      </c>
      <c r="I567" s="3"/>
      <c r="J567" s="3"/>
    </row>
    <row r="568" spans="1:10" x14ac:dyDescent="0.25">
      <c r="A568" s="3"/>
      <c r="B568" s="3"/>
      <c r="C568" s="3"/>
      <c r="D568" s="3" t="s">
        <v>48</v>
      </c>
      <c r="E568" s="3">
        <f>B17*B26</f>
        <v>12662.82</v>
      </c>
      <c r="F568" s="17">
        <f>H106</f>
        <v>12662.82</v>
      </c>
      <c r="G568" s="17">
        <f>F568*0.3</f>
        <v>3798.8459999999995</v>
      </c>
      <c r="H568" s="17">
        <f>F568+G568</f>
        <v>16461.665999999997</v>
      </c>
      <c r="I568" s="3"/>
      <c r="J568" s="3"/>
    </row>
    <row r="569" spans="1:10" x14ac:dyDescent="0.25">
      <c r="A569" s="3"/>
      <c r="B569" s="3"/>
      <c r="C569" s="3"/>
      <c r="D569" s="3" t="s">
        <v>77</v>
      </c>
      <c r="E569" s="3">
        <f>B21</f>
        <v>9384</v>
      </c>
      <c r="F569" s="17">
        <f>H203</f>
        <v>0</v>
      </c>
      <c r="G569" s="17">
        <f t="shared" ref="G569:G571" si="45">F569*0.3</f>
        <v>0</v>
      </c>
      <c r="H569" s="17">
        <f t="shared" ref="H569:H571" si="46">F569+G569</f>
        <v>0</v>
      </c>
      <c r="I569" s="3"/>
      <c r="J569" s="3"/>
    </row>
    <row r="570" spans="1:10" x14ac:dyDescent="0.25">
      <c r="A570" s="3"/>
      <c r="B570" s="3"/>
      <c r="C570" s="3"/>
      <c r="D570" s="3" t="s">
        <v>103</v>
      </c>
      <c r="E570" s="3">
        <f>B22</f>
        <v>28650</v>
      </c>
      <c r="F570" s="17">
        <f>H241</f>
        <v>0</v>
      </c>
      <c r="G570" s="17">
        <f t="shared" si="45"/>
        <v>0</v>
      </c>
      <c r="H570" s="17">
        <f t="shared" si="46"/>
        <v>0</v>
      </c>
      <c r="I570" s="3"/>
      <c r="J570" s="3"/>
    </row>
    <row r="571" spans="1:10" x14ac:dyDescent="0.25">
      <c r="A571" s="3"/>
      <c r="B571" s="3"/>
      <c r="C571" s="3"/>
      <c r="D571" s="3" t="s">
        <v>104</v>
      </c>
      <c r="E571" s="3">
        <f>B23</f>
        <v>9444</v>
      </c>
      <c r="F571" s="17">
        <f>H222</f>
        <v>0</v>
      </c>
      <c r="G571" s="17">
        <f t="shared" si="45"/>
        <v>0</v>
      </c>
      <c r="H571" s="17">
        <f t="shared" si="46"/>
        <v>0</v>
      </c>
      <c r="I571" s="3"/>
      <c r="J571" s="3"/>
    </row>
    <row r="572" spans="1:10" x14ac:dyDescent="0.25">
      <c r="A572" s="3"/>
      <c r="B572" s="3"/>
      <c r="C572" s="3"/>
      <c r="D572" s="3"/>
      <c r="E572" s="3"/>
      <c r="F572" s="3"/>
      <c r="G572" s="3" t="s">
        <v>56</v>
      </c>
      <c r="H572" s="17">
        <f>SUM(H568:H571)</f>
        <v>16461.665999999997</v>
      </c>
      <c r="I572" s="3"/>
      <c r="J572" s="3"/>
    </row>
    <row r="573" spans="1:10" x14ac:dyDescent="0.25">
      <c r="A573" s="3"/>
      <c r="B573" s="3"/>
      <c r="C573" s="3" t="s">
        <v>26</v>
      </c>
      <c r="D573" s="3"/>
      <c r="E573" s="3"/>
      <c r="F573" s="3"/>
      <c r="G573" s="3"/>
      <c r="H573" s="3"/>
      <c r="I573" s="3"/>
      <c r="J573" s="3"/>
    </row>
    <row r="574" spans="1:10" x14ac:dyDescent="0.25">
      <c r="A574" s="3"/>
      <c r="B574" s="3"/>
      <c r="C574" s="3">
        <f>G107+G108+G204+G205+G242+G243+G223+G224</f>
        <v>0.5</v>
      </c>
      <c r="D574" s="3" t="s">
        <v>18</v>
      </c>
      <c r="E574" s="3">
        <f>B27*B26</f>
        <v>55620</v>
      </c>
      <c r="F574" s="22">
        <f>C574*E574</f>
        <v>27810</v>
      </c>
      <c r="G574" s="22">
        <f>F574*0.3</f>
        <v>8343</v>
      </c>
      <c r="H574" s="22">
        <f>F574+G574</f>
        <v>36153</v>
      </c>
      <c r="I574" s="3"/>
      <c r="J574" s="3"/>
    </row>
    <row r="575" spans="1:10" x14ac:dyDescent="0.25">
      <c r="A575" s="3"/>
      <c r="B575" s="3"/>
      <c r="C575" s="3">
        <f>G109+G110+G206+G207+G244+G245+G225+G226</f>
        <v>1</v>
      </c>
      <c r="D575" s="3" t="s">
        <v>19</v>
      </c>
      <c r="E575" s="3">
        <f>B28*B26</f>
        <v>24720</v>
      </c>
      <c r="F575" s="22">
        <f>C575*E575</f>
        <v>24720</v>
      </c>
      <c r="G575" s="17">
        <f>F575*0.1</f>
        <v>2472</v>
      </c>
      <c r="H575" s="22">
        <f t="shared" ref="H575:H576" si="47">F575+G575</f>
        <v>27192</v>
      </c>
      <c r="I575" s="3"/>
      <c r="J575" s="3"/>
    </row>
    <row r="576" spans="1:10" x14ac:dyDescent="0.25">
      <c r="A576" s="3"/>
      <c r="B576" s="3"/>
      <c r="C576" s="3">
        <f>G111+G112+G208+G209+G246+G247+G227+G228</f>
        <v>2</v>
      </c>
      <c r="D576" s="3" t="s">
        <v>84</v>
      </c>
      <c r="E576" s="3">
        <f>B25</f>
        <v>5000</v>
      </c>
      <c r="F576" s="22">
        <f>C576*E576</f>
        <v>10000</v>
      </c>
      <c r="G576" s="17">
        <f>F576*0.085</f>
        <v>850.00000000000011</v>
      </c>
      <c r="H576" s="22">
        <f t="shared" si="47"/>
        <v>10850</v>
      </c>
      <c r="I576" s="3"/>
      <c r="J576" s="3"/>
    </row>
    <row r="577" spans="1:10" x14ac:dyDescent="0.25">
      <c r="A577" s="3"/>
      <c r="B577" s="3"/>
      <c r="C577" s="3"/>
      <c r="D577" s="3"/>
      <c r="E577" s="3"/>
      <c r="F577" s="3"/>
      <c r="G577" s="3" t="s">
        <v>57</v>
      </c>
      <c r="H577" s="17">
        <f>SUM(H574:H576)</f>
        <v>74195</v>
      </c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 t="s">
        <v>59</v>
      </c>
      <c r="H578" s="3">
        <f>G568+SUM(G574:G576)</f>
        <v>15463.846</v>
      </c>
      <c r="I578" s="3"/>
      <c r="J578" s="3"/>
    </row>
    <row r="579" spans="1:10" x14ac:dyDescent="0.25">
      <c r="A579" s="3"/>
      <c r="B579" s="3"/>
      <c r="C579" s="3"/>
      <c r="D579" s="3" t="s">
        <v>20</v>
      </c>
      <c r="E579" s="3">
        <f>H114+H211+H249+H230</f>
        <v>0</v>
      </c>
      <c r="F579" s="3"/>
      <c r="G579" s="3"/>
      <c r="H579" s="3"/>
      <c r="I579" s="3"/>
      <c r="J579" s="3"/>
    </row>
    <row r="580" spans="1:10" x14ac:dyDescent="0.25">
      <c r="A580" s="3"/>
      <c r="B580" s="3"/>
      <c r="C580" s="3"/>
      <c r="D580" s="3" t="s">
        <v>30</v>
      </c>
      <c r="E580" s="3">
        <f>H115</f>
        <v>0</v>
      </c>
      <c r="F580" s="3"/>
      <c r="G580" s="3" t="s">
        <v>53</v>
      </c>
      <c r="H580" s="17">
        <f>E579+E580</f>
        <v>0</v>
      </c>
      <c r="I580" s="3"/>
      <c r="J580" s="3"/>
    </row>
    <row r="581" spans="1:10" x14ac:dyDescent="0.25">
      <c r="A581" s="3"/>
      <c r="B581" s="3"/>
      <c r="C581" s="3"/>
      <c r="D581" s="3" t="s">
        <v>21</v>
      </c>
      <c r="E581" s="3">
        <f>H116+H213+H251+H232</f>
        <v>9140</v>
      </c>
      <c r="F581" s="3"/>
      <c r="G581" s="3"/>
      <c r="H581" s="17">
        <f>E581</f>
        <v>9140</v>
      </c>
      <c r="I581" s="3"/>
      <c r="J581" s="3"/>
    </row>
    <row r="582" spans="1:10" x14ac:dyDescent="0.25">
      <c r="A582" s="3"/>
      <c r="B582" s="3"/>
      <c r="C582" s="3"/>
      <c r="D582" s="3" t="s">
        <v>22</v>
      </c>
      <c r="E582" s="3">
        <f>H117+H214+H252+H233</f>
        <v>18500</v>
      </c>
      <c r="F582" s="3"/>
      <c r="G582" s="3"/>
      <c r="H582" s="17">
        <f t="shared" ref="H582:H583" si="48">E582</f>
        <v>18500</v>
      </c>
      <c r="I582" s="3"/>
      <c r="J582" s="3"/>
    </row>
    <row r="583" spans="1:10" x14ac:dyDescent="0.25">
      <c r="A583" s="3"/>
      <c r="B583" s="3"/>
      <c r="C583" s="3"/>
      <c r="D583" s="3" t="s">
        <v>78</v>
      </c>
      <c r="E583" s="3">
        <f>H118</f>
        <v>0</v>
      </c>
      <c r="F583" s="3"/>
      <c r="G583" s="3"/>
      <c r="H583" s="17">
        <f t="shared" si="48"/>
        <v>0</v>
      </c>
      <c r="I583" s="3"/>
      <c r="J583" s="3"/>
    </row>
    <row r="584" spans="1:10" x14ac:dyDescent="0.25">
      <c r="A584" s="3"/>
      <c r="B584" s="3"/>
      <c r="C584" s="3"/>
      <c r="D584" s="3" t="s">
        <v>51</v>
      </c>
      <c r="E584" s="3"/>
      <c r="F584" s="3"/>
      <c r="G584" s="3"/>
      <c r="H584" s="17">
        <f>H572+H577+H579+H580+H581+H582+H583</f>
        <v>118296.666</v>
      </c>
      <c r="I584" s="3"/>
      <c r="J584" s="3"/>
    </row>
    <row r="585" spans="1:10" x14ac:dyDescent="0.25">
      <c r="A585" s="3"/>
      <c r="B585" s="3"/>
      <c r="C585" s="3"/>
      <c r="D585" s="3" t="s">
        <v>54</v>
      </c>
      <c r="E585" s="3">
        <f>H120+H216+H254+H235</f>
        <v>57322.932990000008</v>
      </c>
      <c r="F585" s="3"/>
      <c r="G585" s="3"/>
      <c r="H585" s="17">
        <f>E585</f>
        <v>57322.932990000008</v>
      </c>
      <c r="I585" s="3"/>
      <c r="J585" s="3"/>
    </row>
    <row r="586" spans="1:10" x14ac:dyDescent="0.25">
      <c r="A586" s="3"/>
      <c r="B586" s="3"/>
      <c r="C586" s="3"/>
      <c r="D586" s="3" t="s">
        <v>55</v>
      </c>
      <c r="E586" s="3">
        <f>H121+H217+H255+H236</f>
        <v>0</v>
      </c>
      <c r="F586" s="3"/>
      <c r="G586" s="3"/>
      <c r="H586" s="17">
        <f>E586</f>
        <v>0</v>
      </c>
      <c r="I586" s="3"/>
      <c r="J586" s="3"/>
    </row>
    <row r="587" spans="1:10" x14ac:dyDescent="0.25">
      <c r="A587" s="3"/>
      <c r="B587" s="3"/>
      <c r="C587" s="3"/>
      <c r="D587" s="3" t="s">
        <v>52</v>
      </c>
      <c r="E587" s="3"/>
      <c r="F587" s="3"/>
      <c r="G587" s="3"/>
      <c r="H587" s="17">
        <f>SUM(H584:H586)</f>
        <v>175619.59899</v>
      </c>
      <c r="I587" s="3"/>
      <c r="J587" s="3"/>
    </row>
    <row r="588" spans="1:1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3"/>
      <c r="B589" s="3"/>
      <c r="C589" s="3"/>
      <c r="D589" s="3" t="s">
        <v>58</v>
      </c>
      <c r="E589" s="3"/>
      <c r="F589" s="3"/>
      <c r="G589" s="3"/>
      <c r="H589" s="3"/>
      <c r="I589" s="3"/>
      <c r="J589" s="3"/>
    </row>
    <row r="592" spans="1:10" x14ac:dyDescent="0.25">
      <c r="A592" s="3" t="s">
        <v>75</v>
      </c>
      <c r="B592" s="3" t="s">
        <v>39</v>
      </c>
      <c r="C592" s="21" t="s">
        <v>61</v>
      </c>
      <c r="D592" s="3" t="s">
        <v>41</v>
      </c>
      <c r="E592" s="3" t="s">
        <v>42</v>
      </c>
      <c r="F592" s="3" t="s">
        <v>43</v>
      </c>
      <c r="G592" s="3" t="s">
        <v>44</v>
      </c>
      <c r="H592" s="3" t="s">
        <v>45</v>
      </c>
      <c r="I592" s="3"/>
      <c r="J592" s="3"/>
    </row>
    <row r="593" spans="1:10" x14ac:dyDescent="0.25">
      <c r="A593" s="3"/>
      <c r="B593" s="3"/>
      <c r="C593" s="3"/>
      <c r="D593" s="3" t="s">
        <v>48</v>
      </c>
      <c r="E593" s="3">
        <f>B17*B26*B26</f>
        <v>13042.704600000001</v>
      </c>
      <c r="F593" s="17">
        <f>J106</f>
        <v>13042.704600000001</v>
      </c>
      <c r="G593" s="17">
        <f>F593*0.3</f>
        <v>3912.8113800000001</v>
      </c>
      <c r="H593" s="17">
        <f>F593+G593</f>
        <v>16955.51598</v>
      </c>
      <c r="I593" s="3"/>
      <c r="J593" s="3"/>
    </row>
    <row r="594" spans="1:10" x14ac:dyDescent="0.25">
      <c r="A594" s="3"/>
      <c r="B594" s="3"/>
      <c r="C594" s="3"/>
      <c r="D594" s="3" t="s">
        <v>77</v>
      </c>
      <c r="E594" s="3">
        <f>B21</f>
        <v>9384</v>
      </c>
      <c r="F594" s="17">
        <f>J203</f>
        <v>0</v>
      </c>
      <c r="G594" s="17">
        <f t="shared" ref="G594:G596" si="49">F594*0.3</f>
        <v>0</v>
      </c>
      <c r="H594" s="17">
        <f t="shared" ref="H594:H596" si="50">F594+G594</f>
        <v>0</v>
      </c>
      <c r="I594" s="3"/>
      <c r="J594" s="3"/>
    </row>
    <row r="595" spans="1:10" x14ac:dyDescent="0.25">
      <c r="A595" s="3"/>
      <c r="B595" s="3"/>
      <c r="C595" s="3"/>
      <c r="D595" s="3" t="s">
        <v>103</v>
      </c>
      <c r="E595" s="3">
        <f>B22</f>
        <v>28650</v>
      </c>
      <c r="F595" s="17">
        <f>J241</f>
        <v>0</v>
      </c>
      <c r="G595" s="17">
        <f t="shared" si="49"/>
        <v>0</v>
      </c>
      <c r="H595" s="17">
        <f t="shared" si="50"/>
        <v>0</v>
      </c>
      <c r="I595" s="3"/>
      <c r="J595" s="3"/>
    </row>
    <row r="596" spans="1:10" x14ac:dyDescent="0.25">
      <c r="A596" s="3"/>
      <c r="B596" s="3"/>
      <c r="C596" s="3"/>
      <c r="D596" s="3" t="s">
        <v>104</v>
      </c>
      <c r="E596" s="3">
        <f>B23</f>
        <v>9444</v>
      </c>
      <c r="F596" s="17">
        <f>J222</f>
        <v>0</v>
      </c>
      <c r="G596" s="17">
        <f t="shared" si="49"/>
        <v>0</v>
      </c>
      <c r="H596" s="17">
        <f t="shared" si="50"/>
        <v>0</v>
      </c>
      <c r="I596" s="3"/>
      <c r="J596" s="3"/>
    </row>
    <row r="597" spans="1:10" x14ac:dyDescent="0.25">
      <c r="A597" s="3"/>
      <c r="B597" s="3"/>
      <c r="C597" s="3"/>
      <c r="D597" s="3"/>
      <c r="E597" s="3"/>
      <c r="F597" s="3"/>
      <c r="G597" s="3" t="s">
        <v>56</v>
      </c>
      <c r="H597" s="17">
        <f>SUM(H593:H596)</f>
        <v>16955.51598</v>
      </c>
      <c r="I597" s="3"/>
      <c r="J597" s="3"/>
    </row>
    <row r="598" spans="1:10" x14ac:dyDescent="0.25">
      <c r="A598" s="3"/>
      <c r="B598" s="3"/>
      <c r="C598" s="3" t="s">
        <v>26</v>
      </c>
      <c r="D598" s="3"/>
      <c r="E598" s="3"/>
      <c r="F598" s="3"/>
      <c r="G598" s="3"/>
      <c r="H598" s="3"/>
      <c r="I598" s="3"/>
      <c r="J598" s="3"/>
    </row>
    <row r="599" spans="1:10" x14ac:dyDescent="0.25">
      <c r="A599" s="3"/>
      <c r="B599" s="3"/>
      <c r="C599" s="3">
        <f>I107+I108+I204+I205+I242+I243+I223+I224</f>
        <v>0</v>
      </c>
      <c r="D599" s="3" t="s">
        <v>18</v>
      </c>
      <c r="E599" s="3">
        <f>B27*B26*B26</f>
        <v>57288.6</v>
      </c>
      <c r="F599" s="22">
        <f>C599*E599</f>
        <v>0</v>
      </c>
      <c r="G599" s="22">
        <f>F599*0.3</f>
        <v>0</v>
      </c>
      <c r="H599" s="22">
        <f>F599+G599</f>
        <v>0</v>
      </c>
      <c r="I599" s="3"/>
      <c r="J599" s="3"/>
    </row>
    <row r="600" spans="1:10" x14ac:dyDescent="0.25">
      <c r="A600" s="3"/>
      <c r="B600" s="3"/>
      <c r="C600" s="3">
        <f>I109+I110+I206+I207+I244+I245+I225+I226</f>
        <v>1</v>
      </c>
      <c r="D600" s="3" t="s">
        <v>19</v>
      </c>
      <c r="E600" s="3">
        <f>B28*B26*B26</f>
        <v>25461.600000000002</v>
      </c>
      <c r="F600" s="22">
        <f t="shared" ref="F600:F601" si="51">C600*E600</f>
        <v>25461.600000000002</v>
      </c>
      <c r="G600" s="17">
        <f>F600*0.1</f>
        <v>2546.1600000000003</v>
      </c>
      <c r="H600" s="22">
        <f t="shared" ref="H600:H601" si="52">F600+G600</f>
        <v>28007.760000000002</v>
      </c>
      <c r="I600" s="3"/>
      <c r="J600" s="3"/>
    </row>
    <row r="601" spans="1:10" x14ac:dyDescent="0.25">
      <c r="A601" s="3"/>
      <c r="B601" s="3"/>
      <c r="C601" s="3">
        <f>I111+I112+I208+I209+I246+I247+I227+I228</f>
        <v>4</v>
      </c>
      <c r="D601" s="3" t="s">
        <v>84</v>
      </c>
      <c r="E601" s="3">
        <f>B25</f>
        <v>5000</v>
      </c>
      <c r="F601" s="22">
        <f t="shared" si="51"/>
        <v>20000</v>
      </c>
      <c r="G601" s="17">
        <f>F601*0.085</f>
        <v>1700.0000000000002</v>
      </c>
      <c r="H601" s="22">
        <f t="shared" si="52"/>
        <v>21700</v>
      </c>
      <c r="I601" s="3"/>
      <c r="J601" s="3"/>
    </row>
    <row r="602" spans="1:10" x14ac:dyDescent="0.25">
      <c r="A602" s="3"/>
      <c r="B602" s="3"/>
      <c r="C602" s="3"/>
      <c r="D602" s="3"/>
      <c r="E602" s="3"/>
      <c r="F602" s="3"/>
      <c r="G602" s="3" t="s">
        <v>57</v>
      </c>
      <c r="H602" s="17">
        <f>SUM(H599:H601)</f>
        <v>49707.76</v>
      </c>
      <c r="I602" s="3"/>
      <c r="J602" s="3"/>
    </row>
    <row r="603" spans="1:10" x14ac:dyDescent="0.25">
      <c r="A603" s="3"/>
      <c r="B603" s="3"/>
      <c r="C603" s="3"/>
      <c r="D603" s="3"/>
      <c r="E603" s="3"/>
      <c r="F603" s="3"/>
      <c r="G603" s="3" t="s">
        <v>59</v>
      </c>
      <c r="H603" s="3">
        <f>G593+SUM(G599:G601)</f>
        <v>8158.9713800000009</v>
      </c>
      <c r="I603" s="3"/>
      <c r="J603" s="3"/>
    </row>
    <row r="604" spans="1:10" x14ac:dyDescent="0.25">
      <c r="A604" s="3"/>
      <c r="B604" s="3"/>
      <c r="C604" s="3"/>
      <c r="D604" s="3" t="s">
        <v>20</v>
      </c>
      <c r="E604" s="3">
        <f>J114+J211+J249+J230</f>
        <v>0</v>
      </c>
      <c r="F604" s="3"/>
      <c r="G604" s="3"/>
      <c r="H604" s="3"/>
      <c r="I604" s="3"/>
      <c r="J604" s="3"/>
    </row>
    <row r="605" spans="1:10" x14ac:dyDescent="0.25">
      <c r="A605" s="3"/>
      <c r="B605" s="3"/>
      <c r="C605" s="3"/>
      <c r="D605" s="3" t="s">
        <v>30</v>
      </c>
      <c r="E605" s="3">
        <f>J115</f>
        <v>0</v>
      </c>
      <c r="F605" s="3"/>
      <c r="G605" s="3" t="s">
        <v>53</v>
      </c>
      <c r="H605" s="17">
        <f>E604+E605</f>
        <v>0</v>
      </c>
      <c r="I605" s="3"/>
      <c r="J605" s="3"/>
    </row>
    <row r="606" spans="1:10" x14ac:dyDescent="0.25">
      <c r="A606" s="3"/>
      <c r="B606" s="3"/>
      <c r="C606" s="3"/>
      <c r="D606" s="3" t="s">
        <v>21</v>
      </c>
      <c r="E606" s="3">
        <f>J116+J213+J251+J232</f>
        <v>9140</v>
      </c>
      <c r="F606" s="3"/>
      <c r="G606" s="3"/>
      <c r="H606" s="17">
        <f>E606</f>
        <v>9140</v>
      </c>
      <c r="I606" s="3"/>
      <c r="J606" s="3"/>
    </row>
    <row r="607" spans="1:10" x14ac:dyDescent="0.25">
      <c r="A607" s="3"/>
      <c r="B607" s="3"/>
      <c r="C607" s="3"/>
      <c r="D607" s="3" t="s">
        <v>22</v>
      </c>
      <c r="E607" s="3">
        <f>J117+J214+J252+J233</f>
        <v>13500</v>
      </c>
      <c r="F607" s="3"/>
      <c r="G607" s="3"/>
      <c r="H607" s="17">
        <f t="shared" ref="H607:H608" si="53">E607</f>
        <v>13500</v>
      </c>
      <c r="I607" s="3"/>
      <c r="J607" s="3"/>
    </row>
    <row r="608" spans="1:10" x14ac:dyDescent="0.25">
      <c r="A608" s="3"/>
      <c r="B608" s="3"/>
      <c r="C608" s="3"/>
      <c r="D608" s="3" t="s">
        <v>78</v>
      </c>
      <c r="E608" s="3">
        <f>J118</f>
        <v>0</v>
      </c>
      <c r="F608" s="3"/>
      <c r="G608" s="3"/>
      <c r="H608" s="17">
        <f t="shared" si="53"/>
        <v>0</v>
      </c>
      <c r="I608" s="3"/>
      <c r="J608" s="3"/>
    </row>
    <row r="609" spans="1:10" x14ac:dyDescent="0.25">
      <c r="A609" s="3"/>
      <c r="B609" s="3"/>
      <c r="C609" s="3"/>
      <c r="D609" s="3" t="s">
        <v>51</v>
      </c>
      <c r="E609" s="3"/>
      <c r="F609" s="3"/>
      <c r="G609" s="3"/>
      <c r="H609" s="17">
        <f>H597+H602+H605+H606+H607+H608</f>
        <v>89303.275980000006</v>
      </c>
      <c r="I609" s="3"/>
      <c r="J609" s="3"/>
    </row>
    <row r="610" spans="1:10" x14ac:dyDescent="0.25">
      <c r="A610" s="3"/>
      <c r="B610" s="3"/>
      <c r="C610" s="3"/>
      <c r="D610" s="3" t="s">
        <v>54</v>
      </c>
      <c r="E610" s="3">
        <f>J120+J216+J254+J235</f>
        <v>42391.337129700005</v>
      </c>
      <c r="F610" s="3"/>
      <c r="G610" s="3"/>
      <c r="H610" s="17">
        <f>E610</f>
        <v>42391.337129700005</v>
      </c>
      <c r="I610" s="3"/>
      <c r="J610" s="3"/>
    </row>
    <row r="611" spans="1:10" x14ac:dyDescent="0.25">
      <c r="A611" s="3"/>
      <c r="B611" s="3"/>
      <c r="C611" s="3"/>
      <c r="D611" s="3" t="s">
        <v>55</v>
      </c>
      <c r="E611" s="3">
        <f>J121+J217+J255+J236</f>
        <v>0</v>
      </c>
      <c r="F611" s="3"/>
      <c r="G611" s="3"/>
      <c r="H611" s="17">
        <f>E611</f>
        <v>0</v>
      </c>
      <c r="I611" s="3"/>
      <c r="J611" s="3"/>
    </row>
    <row r="612" spans="1:10" x14ac:dyDescent="0.25">
      <c r="A612" s="3"/>
      <c r="B612" s="3"/>
      <c r="C612" s="3"/>
      <c r="D612" s="3" t="s">
        <v>52</v>
      </c>
      <c r="E612" s="3"/>
      <c r="F612" s="3"/>
      <c r="G612" s="3"/>
      <c r="H612" s="17">
        <f>SUM(H609:H611)</f>
        <v>131694.6131097</v>
      </c>
      <c r="I612" s="3"/>
      <c r="J612" s="3"/>
    </row>
    <row r="613" spans="1:1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3"/>
      <c r="B614" s="3"/>
      <c r="C614" s="3"/>
      <c r="D614" s="3" t="s">
        <v>58</v>
      </c>
      <c r="E614" s="3"/>
      <c r="F614" s="3"/>
      <c r="G614" s="3"/>
      <c r="H614" s="3"/>
      <c r="I614" s="3"/>
      <c r="J614" s="3"/>
    </row>
    <row r="617" spans="1:10" x14ac:dyDescent="0.25">
      <c r="A617" s="3" t="s">
        <v>75</v>
      </c>
      <c r="B617" s="3" t="s">
        <v>39</v>
      </c>
      <c r="C617" s="21" t="s">
        <v>119</v>
      </c>
      <c r="F617" t="s">
        <v>118</v>
      </c>
      <c r="H617" s="2">
        <f>H547+H572+H597</f>
        <v>49399.381979999998</v>
      </c>
    </row>
    <row r="618" spans="1:10" x14ac:dyDescent="0.25">
      <c r="F618" t="s">
        <v>120</v>
      </c>
      <c r="H618" s="2">
        <f>H552+H577+H602</f>
        <v>196252.76</v>
      </c>
    </row>
    <row r="619" spans="1:10" x14ac:dyDescent="0.25">
      <c r="F619" t="s">
        <v>121</v>
      </c>
      <c r="H619" s="2">
        <f>SUM(C549:C551) + SUM(C574:C576) + SUM(C597:C599)</f>
        <v>7</v>
      </c>
    </row>
    <row r="620" spans="1:10" x14ac:dyDescent="0.25">
      <c r="F620" t="s">
        <v>122</v>
      </c>
      <c r="H620" s="2">
        <f>H617+H618</f>
        <v>245652.14198000001</v>
      </c>
    </row>
    <row r="622" spans="1:10" x14ac:dyDescent="0.25">
      <c r="F622" t="s">
        <v>123</v>
      </c>
      <c r="H622">
        <v>0</v>
      </c>
    </row>
    <row r="623" spans="1:10" x14ac:dyDescent="0.25">
      <c r="F623" t="s">
        <v>124</v>
      </c>
      <c r="H623">
        <v>0</v>
      </c>
    </row>
    <row r="625" spans="1:8" x14ac:dyDescent="0.25">
      <c r="F625" t="s">
        <v>21</v>
      </c>
      <c r="H625" s="2">
        <f>H556+H581+H606</f>
        <v>27420</v>
      </c>
    </row>
    <row r="627" spans="1:8" x14ac:dyDescent="0.25">
      <c r="F627" t="s">
        <v>22</v>
      </c>
      <c r="H627" s="2">
        <f>H557+H582+H607</f>
        <v>50500</v>
      </c>
    </row>
    <row r="629" spans="1:8" x14ac:dyDescent="0.25">
      <c r="F629" t="s">
        <v>125</v>
      </c>
      <c r="H629" s="2">
        <f>H559+H584+H609</f>
        <v>323572.14197999996</v>
      </c>
    </row>
    <row r="630" spans="1:8" x14ac:dyDescent="0.25">
      <c r="F630" t="s">
        <v>126</v>
      </c>
      <c r="H630" s="2">
        <f>H560+H585+H610</f>
        <v>155840.10311970001</v>
      </c>
    </row>
    <row r="631" spans="1:8" x14ac:dyDescent="0.25">
      <c r="F631" t="s">
        <v>24</v>
      </c>
      <c r="H631" s="2">
        <f>H629+H630</f>
        <v>479412.24509969994</v>
      </c>
    </row>
    <row r="634" spans="1:8" x14ac:dyDescent="0.25">
      <c r="A634" t="s">
        <v>129</v>
      </c>
    </row>
    <row r="635" spans="1:8" x14ac:dyDescent="0.25">
      <c r="A635" t="s">
        <v>138</v>
      </c>
    </row>
    <row r="636" spans="1:8" x14ac:dyDescent="0.25">
      <c r="A636" s="1" t="s">
        <v>130</v>
      </c>
      <c r="B636" s="1" t="s">
        <v>41</v>
      </c>
      <c r="C636" s="1" t="s">
        <v>131</v>
      </c>
      <c r="D636" s="1" t="s">
        <v>42</v>
      </c>
      <c r="E636" s="1" t="s">
        <v>132</v>
      </c>
      <c r="F636" s="1" t="s">
        <v>133</v>
      </c>
      <c r="G636" s="1" t="s">
        <v>134</v>
      </c>
      <c r="H636" s="1" t="s">
        <v>135</v>
      </c>
    </row>
    <row r="637" spans="1:8" x14ac:dyDescent="0.25">
      <c r="A637" t="s">
        <v>149</v>
      </c>
      <c r="B637" t="s">
        <v>140</v>
      </c>
      <c r="C637" t="s">
        <v>136</v>
      </c>
      <c r="D637" s="2">
        <v>54000</v>
      </c>
      <c r="E637">
        <v>36</v>
      </c>
      <c r="F637" s="2">
        <f>F69+H69+J69+F146+H146+J146</f>
        <v>166908.59999999998</v>
      </c>
      <c r="G637" s="2">
        <f>F637*0.3</f>
        <v>50072.579999999994</v>
      </c>
      <c r="H637" s="2">
        <f>SUM(F637:G637)</f>
        <v>216981.17999999996</v>
      </c>
    </row>
    <row r="638" spans="1:8" x14ac:dyDescent="0.25">
      <c r="A638" t="s">
        <v>47</v>
      </c>
      <c r="B638" t="s">
        <v>140</v>
      </c>
      <c r="C638" t="s">
        <v>136</v>
      </c>
      <c r="D638">
        <v>59400</v>
      </c>
      <c r="E638">
        <v>18</v>
      </c>
      <c r="F638" s="2">
        <f>F70+H70+J70</f>
        <v>91799.73000000001</v>
      </c>
      <c r="G638" s="2">
        <f t="shared" ref="G638:G643" si="54">F638*0.3</f>
        <v>27539.919000000002</v>
      </c>
      <c r="H638" s="2">
        <f t="shared" ref="H638:H643" si="55">SUM(F638:G638)</f>
        <v>119339.649</v>
      </c>
    </row>
    <row r="639" spans="1:8" x14ac:dyDescent="0.25">
      <c r="A639" t="s">
        <v>50</v>
      </c>
      <c r="B639" t="s">
        <v>140</v>
      </c>
      <c r="C639" t="s">
        <v>136</v>
      </c>
      <c r="D639">
        <v>59400</v>
      </c>
      <c r="E639">
        <v>18</v>
      </c>
      <c r="F639" s="2">
        <f>F147+H147+J147</f>
        <v>91799.73000000001</v>
      </c>
      <c r="G639" s="2">
        <f t="shared" si="54"/>
        <v>27539.919000000002</v>
      </c>
      <c r="H639" s="2">
        <f t="shared" si="55"/>
        <v>119339.649</v>
      </c>
    </row>
    <row r="640" spans="1:8" x14ac:dyDescent="0.25">
      <c r="A640" t="s">
        <v>150</v>
      </c>
      <c r="B640" t="s">
        <v>140</v>
      </c>
      <c r="C640" t="s">
        <v>136</v>
      </c>
      <c r="D640">
        <v>54000</v>
      </c>
      <c r="E640">
        <v>36</v>
      </c>
      <c r="F640" s="2">
        <f>(F167+H167+J167)*2</f>
        <v>166908.6</v>
      </c>
      <c r="G640" s="2">
        <f t="shared" si="54"/>
        <v>50072.58</v>
      </c>
      <c r="H640" s="2">
        <f t="shared" si="55"/>
        <v>216981.18</v>
      </c>
    </row>
    <row r="641" spans="1:8" x14ac:dyDescent="0.25">
      <c r="A641" t="s">
        <v>49</v>
      </c>
      <c r="B641" t="s">
        <v>140</v>
      </c>
      <c r="C641" t="s">
        <v>137</v>
      </c>
      <c r="D641">
        <v>54000</v>
      </c>
      <c r="E641">
        <v>36</v>
      </c>
      <c r="F641" s="2">
        <f>F127+H127+J127+F128+H128+J128</f>
        <v>166908.6</v>
      </c>
      <c r="G641" s="2">
        <f t="shared" si="54"/>
        <v>50072.58</v>
      </c>
      <c r="H641" s="2">
        <f t="shared" si="55"/>
        <v>216981.18</v>
      </c>
    </row>
    <row r="642" spans="1:8" x14ac:dyDescent="0.25">
      <c r="A642" t="s">
        <v>77</v>
      </c>
      <c r="B642" t="s">
        <v>140</v>
      </c>
      <c r="C642" t="s">
        <v>137</v>
      </c>
      <c r="D642">
        <v>54000</v>
      </c>
      <c r="E642">
        <v>30</v>
      </c>
      <c r="F642" s="2">
        <f>F186+H186+J186</f>
        <v>139908.6</v>
      </c>
      <c r="G642" s="2">
        <f t="shared" si="54"/>
        <v>41972.58</v>
      </c>
      <c r="H642" s="2">
        <f t="shared" si="55"/>
        <v>181881.18</v>
      </c>
    </row>
    <row r="643" spans="1:8" x14ac:dyDescent="0.25">
      <c r="A643" t="s">
        <v>48</v>
      </c>
      <c r="B643" t="s">
        <v>140</v>
      </c>
      <c r="C643" t="s">
        <v>148</v>
      </c>
      <c r="D643">
        <v>54000</v>
      </c>
      <c r="E643">
        <v>12</v>
      </c>
      <c r="F643" s="2">
        <f>F107+H107+J107</f>
        <v>54810</v>
      </c>
      <c r="G643" s="2">
        <f t="shared" si="54"/>
        <v>16443</v>
      </c>
      <c r="H643" s="2">
        <f t="shared" si="55"/>
        <v>71253</v>
      </c>
    </row>
    <row r="644" spans="1:8" x14ac:dyDescent="0.25">
      <c r="F644" s="2"/>
      <c r="G644" s="2"/>
      <c r="H644" s="2"/>
    </row>
    <row r="645" spans="1:8" x14ac:dyDescent="0.25">
      <c r="A645" t="s">
        <v>139</v>
      </c>
      <c r="F645" s="2"/>
      <c r="G645" s="2"/>
      <c r="H645" s="2"/>
    </row>
    <row r="646" spans="1:8" x14ac:dyDescent="0.25">
      <c r="A646" t="s">
        <v>46</v>
      </c>
      <c r="B646" t="s">
        <v>140</v>
      </c>
      <c r="C646" t="s">
        <v>141</v>
      </c>
      <c r="D646">
        <v>24000</v>
      </c>
      <c r="E646">
        <v>24</v>
      </c>
      <c r="F646" s="2">
        <f>F41+H41+J41</f>
        <v>49821.600000000006</v>
      </c>
      <c r="G646" s="2">
        <f>F646*0.1</f>
        <v>4982.1600000000008</v>
      </c>
      <c r="H646" s="2">
        <f>SUM(F646:G646)</f>
        <v>54803.760000000009</v>
      </c>
    </row>
    <row r="647" spans="1:8" x14ac:dyDescent="0.25">
      <c r="A647" t="s">
        <v>47</v>
      </c>
      <c r="B647" t="s">
        <v>140</v>
      </c>
      <c r="C647" t="s">
        <v>141</v>
      </c>
      <c r="D647">
        <v>24000</v>
      </c>
      <c r="E647">
        <v>36</v>
      </c>
      <c r="F647" s="2">
        <f>F72+H72+J72</f>
        <v>74181.600000000006</v>
      </c>
      <c r="G647" s="2">
        <f>F647*0.1</f>
        <v>7418.1600000000008</v>
      </c>
      <c r="H647" s="2">
        <f>SUM(F647:G647)</f>
        <v>81599.760000000009</v>
      </c>
    </row>
    <row r="648" spans="1:8" x14ac:dyDescent="0.25">
      <c r="A648" t="s">
        <v>48</v>
      </c>
      <c r="B648" t="s">
        <v>140</v>
      </c>
      <c r="C648" t="s">
        <v>141</v>
      </c>
      <c r="D648">
        <v>24000</v>
      </c>
      <c r="E648">
        <v>18</v>
      </c>
      <c r="F648" s="2">
        <f>F90+H90+J90</f>
        <v>37090.800000000003</v>
      </c>
      <c r="G648" s="2">
        <f t="shared" ref="G648:G654" si="56">F648*0.1</f>
        <v>3709.0800000000004</v>
      </c>
      <c r="H648" s="2">
        <f t="shared" ref="H648:H654" si="57">SUM(F648:G648)</f>
        <v>40799.880000000005</v>
      </c>
    </row>
    <row r="649" spans="1:8" x14ac:dyDescent="0.25">
      <c r="A649" t="s">
        <v>50</v>
      </c>
      <c r="B649" t="s">
        <v>140</v>
      </c>
      <c r="C649" t="s">
        <v>141</v>
      </c>
      <c r="D649">
        <v>24000</v>
      </c>
      <c r="E649">
        <v>36</v>
      </c>
      <c r="F649" s="2">
        <f>F148+H148+J148</f>
        <v>74181.600000000006</v>
      </c>
      <c r="G649" s="2">
        <f t="shared" si="56"/>
        <v>7418.1600000000008</v>
      </c>
      <c r="H649" s="2">
        <f t="shared" si="57"/>
        <v>81599.760000000009</v>
      </c>
    </row>
    <row r="650" spans="1:8" x14ac:dyDescent="0.25">
      <c r="A650" t="s">
        <v>76</v>
      </c>
      <c r="B650" t="s">
        <v>140</v>
      </c>
      <c r="C650" t="s">
        <v>141</v>
      </c>
      <c r="D650">
        <v>24000</v>
      </c>
      <c r="E650">
        <v>36</v>
      </c>
      <c r="F650" s="2">
        <f>F169+H169+J169</f>
        <v>74181.600000000006</v>
      </c>
      <c r="G650" s="2">
        <f t="shared" si="56"/>
        <v>7418.1600000000008</v>
      </c>
      <c r="H650" s="2">
        <f t="shared" si="57"/>
        <v>81599.760000000009</v>
      </c>
    </row>
    <row r="651" spans="1:8" x14ac:dyDescent="0.25">
      <c r="A651" t="s">
        <v>49</v>
      </c>
      <c r="B651" t="s">
        <v>140</v>
      </c>
      <c r="C651" t="s">
        <v>142</v>
      </c>
      <c r="D651">
        <v>24000</v>
      </c>
      <c r="E651">
        <v>36</v>
      </c>
      <c r="F651" s="2">
        <f>F129+H129+J129+F130+H130+J130</f>
        <v>74181.600000000006</v>
      </c>
      <c r="G651" s="2">
        <f t="shared" si="56"/>
        <v>7418.1600000000008</v>
      </c>
      <c r="H651" s="2">
        <f t="shared" si="57"/>
        <v>81599.760000000009</v>
      </c>
    </row>
    <row r="652" spans="1:8" x14ac:dyDescent="0.25">
      <c r="A652" t="s">
        <v>77</v>
      </c>
      <c r="B652" t="s">
        <v>140</v>
      </c>
      <c r="C652" t="s">
        <v>142</v>
      </c>
      <c r="D652">
        <v>24000</v>
      </c>
      <c r="E652">
        <v>36</v>
      </c>
      <c r="F652" s="2">
        <f>F187+H187+J187+F188+H188+J188</f>
        <v>74181.600000000006</v>
      </c>
      <c r="G652" s="2">
        <f t="shared" si="56"/>
        <v>7418.1600000000008</v>
      </c>
      <c r="H652" s="2">
        <f t="shared" si="57"/>
        <v>81599.760000000009</v>
      </c>
    </row>
    <row r="653" spans="1:8" x14ac:dyDescent="0.25">
      <c r="A653" t="s">
        <v>77</v>
      </c>
      <c r="B653" t="s">
        <v>140</v>
      </c>
      <c r="C653" t="s">
        <v>143</v>
      </c>
      <c r="D653">
        <v>24000</v>
      </c>
      <c r="E653">
        <v>18</v>
      </c>
      <c r="F653" s="2">
        <f>F206+H206+J206</f>
        <v>37090.800000000003</v>
      </c>
      <c r="G653" s="2">
        <f t="shared" si="56"/>
        <v>3709.0800000000004</v>
      </c>
      <c r="H653" s="2">
        <f t="shared" si="57"/>
        <v>40799.880000000005</v>
      </c>
    </row>
    <row r="654" spans="1:8" x14ac:dyDescent="0.25">
      <c r="A654" t="s">
        <v>104</v>
      </c>
      <c r="B654" t="s">
        <v>140</v>
      </c>
      <c r="C654" t="s">
        <v>143</v>
      </c>
      <c r="D654">
        <v>24000</v>
      </c>
      <c r="E654">
        <v>18</v>
      </c>
      <c r="F654" s="2">
        <f>F225+H225+J225</f>
        <v>37090.800000000003</v>
      </c>
      <c r="G654" s="2">
        <f t="shared" si="56"/>
        <v>3709.0800000000004</v>
      </c>
      <c r="H654" s="2">
        <f t="shared" si="57"/>
        <v>40799.880000000005</v>
      </c>
    </row>
    <row r="655" spans="1:8" x14ac:dyDescent="0.25">
      <c r="F655" s="2"/>
      <c r="G655" s="2"/>
      <c r="H655" s="2"/>
    </row>
    <row r="656" spans="1:8" x14ac:dyDescent="0.25">
      <c r="A656" t="s">
        <v>144</v>
      </c>
      <c r="F656" s="2"/>
      <c r="G656" s="2"/>
      <c r="H656" s="2"/>
    </row>
    <row r="657" spans="1:8" x14ac:dyDescent="0.25">
      <c r="A657" t="s">
        <v>46</v>
      </c>
      <c r="B657" t="s">
        <v>140</v>
      </c>
      <c r="C657" t="s">
        <v>145</v>
      </c>
      <c r="D657">
        <v>5000</v>
      </c>
      <c r="E657">
        <v>72</v>
      </c>
      <c r="F657" s="2">
        <f>F43+H43+J43</f>
        <v>30000</v>
      </c>
      <c r="G657" s="2">
        <f>F657*0.085</f>
        <v>2550</v>
      </c>
      <c r="H657" s="2">
        <f>SUM(F657:G657)</f>
        <v>32550</v>
      </c>
    </row>
    <row r="658" spans="1:8" x14ac:dyDescent="0.25">
      <c r="A658" t="s">
        <v>47</v>
      </c>
      <c r="B658" t="s">
        <v>140</v>
      </c>
      <c r="C658" t="s">
        <v>145</v>
      </c>
      <c r="D658">
        <v>5000</v>
      </c>
      <c r="E658">
        <v>36</v>
      </c>
      <c r="F658" s="2">
        <f>F73+H73+J73</f>
        <v>15000</v>
      </c>
      <c r="G658" s="2">
        <f t="shared" ref="G658:G661" si="58">F658*0.085</f>
        <v>1275</v>
      </c>
      <c r="H658" s="2">
        <f t="shared" ref="H658:H661" si="59">SUM(F658:G658)</f>
        <v>16275</v>
      </c>
    </row>
    <row r="659" spans="1:8" x14ac:dyDescent="0.25">
      <c r="A659" t="s">
        <v>49</v>
      </c>
      <c r="B659" t="s">
        <v>140</v>
      </c>
      <c r="C659" t="s">
        <v>146</v>
      </c>
      <c r="D659">
        <v>5000</v>
      </c>
      <c r="E659">
        <v>72</v>
      </c>
      <c r="F659" s="2">
        <f>F131+H131+J131+F132+H132+J132</f>
        <v>30000</v>
      </c>
      <c r="G659" s="2">
        <f t="shared" si="58"/>
        <v>2550</v>
      </c>
      <c r="H659" s="2">
        <f t="shared" si="59"/>
        <v>32550</v>
      </c>
    </row>
    <row r="660" spans="1:8" x14ac:dyDescent="0.25">
      <c r="A660" t="s">
        <v>77</v>
      </c>
      <c r="B660" t="s">
        <v>140</v>
      </c>
      <c r="C660" t="s">
        <v>146</v>
      </c>
      <c r="D660">
        <v>5000</v>
      </c>
      <c r="E660">
        <v>72</v>
      </c>
      <c r="F660" s="2">
        <f>F189+H189+J189+F190+H190+J190</f>
        <v>30000</v>
      </c>
      <c r="G660" s="2">
        <f t="shared" si="58"/>
        <v>2550</v>
      </c>
      <c r="H660" s="2">
        <f t="shared" si="59"/>
        <v>32550</v>
      </c>
    </row>
    <row r="661" spans="1:8" x14ac:dyDescent="0.25">
      <c r="A661" t="s">
        <v>103</v>
      </c>
      <c r="B661" t="s">
        <v>140</v>
      </c>
      <c r="C661" t="s">
        <v>147</v>
      </c>
      <c r="D661">
        <v>5000</v>
      </c>
      <c r="E661">
        <v>72</v>
      </c>
      <c r="F661" s="2">
        <f>F247+H247+J247</f>
        <v>30000</v>
      </c>
      <c r="G661" s="2">
        <f t="shared" si="58"/>
        <v>2550</v>
      </c>
      <c r="H661" s="2">
        <f t="shared" si="59"/>
        <v>32550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awhite</dc:creator>
  <cp:lastModifiedBy>White, Andrew</cp:lastModifiedBy>
  <cp:lastPrinted>2016-09-19T23:29:39Z</cp:lastPrinted>
  <dcterms:created xsi:type="dcterms:W3CDTF">2013-08-28T00:10:52Z</dcterms:created>
  <dcterms:modified xsi:type="dcterms:W3CDTF">2017-03-02T22:19:40Z</dcterms:modified>
</cp:coreProperties>
</file>