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ehoon/Jae/UTA/Funding/DoE Basefunding Proposal/2016 - 2019/"/>
    </mc:Choice>
  </mc:AlternateContent>
  <bookViews>
    <workbookView xWindow="0" yWindow="460" windowWidth="20940" windowHeight="13700"/>
  </bookViews>
  <sheets>
    <sheet name="FY17-19" sheetId="1" r:id="rId1"/>
    <sheet name="Personnel Time Distriubtion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28" i="1"/>
  <c r="F28" i="1"/>
  <c r="F26" i="1"/>
  <c r="E22" i="1"/>
  <c r="E16" i="1"/>
  <c r="E17" i="1"/>
  <c r="Q11" i="1"/>
  <c r="K11" i="1"/>
  <c r="Q28" i="1"/>
  <c r="K28" i="1"/>
  <c r="K26" i="1"/>
  <c r="E5" i="1"/>
  <c r="D28" i="1"/>
  <c r="E26" i="1"/>
  <c r="D11" i="1"/>
  <c r="F11" i="1"/>
  <c r="D33" i="1"/>
  <c r="E33" i="1"/>
  <c r="F33" i="1"/>
  <c r="F31" i="1"/>
  <c r="F30" i="1"/>
  <c r="F29" i="1"/>
  <c r="F24" i="1"/>
  <c r="F23" i="1"/>
  <c r="F22" i="1"/>
  <c r="F21" i="1"/>
  <c r="E9" i="1"/>
  <c r="D16" i="1"/>
  <c r="D17" i="1"/>
  <c r="F17" i="1"/>
  <c r="F16" i="1"/>
  <c r="F14" i="1"/>
  <c r="F13" i="1"/>
  <c r="F12" i="1"/>
  <c r="F9" i="1"/>
  <c r="F7" i="1"/>
  <c r="F6" i="1"/>
  <c r="F5" i="1"/>
  <c r="F4" i="1"/>
  <c r="K33" i="1"/>
  <c r="L33" i="1"/>
  <c r="L31" i="1"/>
  <c r="L30" i="1"/>
  <c r="L29" i="1"/>
  <c r="L28" i="1"/>
  <c r="L26" i="1"/>
  <c r="L24" i="1"/>
  <c r="L23" i="1"/>
  <c r="L22" i="1"/>
  <c r="L21" i="1"/>
  <c r="K16" i="1"/>
  <c r="K17" i="1"/>
  <c r="L17" i="1"/>
  <c r="L16" i="1"/>
  <c r="L14" i="1"/>
  <c r="L13" i="1"/>
  <c r="L12" i="1"/>
  <c r="L11" i="1"/>
  <c r="L9" i="1"/>
  <c r="L7" i="1"/>
  <c r="L6" i="1"/>
  <c r="L5" i="1"/>
  <c r="L4" i="1"/>
  <c r="Q33" i="1"/>
  <c r="P33" i="1"/>
  <c r="R31" i="1"/>
  <c r="R30" i="1"/>
  <c r="R29" i="1"/>
  <c r="R24" i="1"/>
  <c r="R23" i="1"/>
  <c r="R22" i="1"/>
  <c r="R21" i="1"/>
  <c r="R14" i="1"/>
  <c r="R13" i="1"/>
  <c r="R12" i="1"/>
  <c r="R7" i="1"/>
  <c r="R6" i="1"/>
  <c r="R5" i="1"/>
  <c r="R4" i="1"/>
  <c r="K34" i="1"/>
  <c r="L34" i="1"/>
  <c r="L36" i="1"/>
  <c r="D34" i="1"/>
  <c r="E34" i="1"/>
  <c r="F34" i="1"/>
  <c r="F36" i="1"/>
  <c r="Q16" i="1"/>
  <c r="Q17" i="1"/>
  <c r="R17" i="1"/>
  <c r="Q34" i="1"/>
  <c r="R34" i="1"/>
  <c r="R36" i="1"/>
  <c r="T36" i="1"/>
  <c r="I12" i="1"/>
  <c r="O12" i="1"/>
  <c r="I29" i="1"/>
  <c r="O29" i="1"/>
  <c r="J29" i="1"/>
  <c r="P22" i="1"/>
  <c r="P23" i="1"/>
  <c r="P26" i="1"/>
  <c r="P29" i="1"/>
  <c r="P34" i="1"/>
  <c r="P6" i="1"/>
  <c r="P9" i="1"/>
  <c r="P12" i="1"/>
  <c r="P16" i="1"/>
  <c r="P17" i="1"/>
  <c r="J22" i="1"/>
  <c r="J26" i="1"/>
  <c r="J33" i="1"/>
  <c r="J34" i="1"/>
  <c r="J12" i="1"/>
  <c r="J17" i="1"/>
  <c r="D22" i="1"/>
  <c r="D26" i="1"/>
  <c r="Q24" i="1"/>
  <c r="P24" i="1"/>
  <c r="Q23" i="1"/>
  <c r="Q22" i="1"/>
  <c r="P21" i="1"/>
  <c r="Q7" i="1"/>
  <c r="P7" i="1"/>
  <c r="Q6" i="1"/>
  <c r="Q5" i="1"/>
  <c r="P5" i="1"/>
  <c r="P4" i="1"/>
  <c r="O4" i="1"/>
  <c r="O5" i="1"/>
  <c r="O6" i="1"/>
  <c r="O7" i="1"/>
  <c r="P11" i="1"/>
  <c r="P14" i="1"/>
  <c r="Q9" i="1"/>
  <c r="O21" i="1"/>
  <c r="O22" i="1"/>
  <c r="O23" i="1"/>
  <c r="O24" i="1"/>
  <c r="P28" i="1"/>
  <c r="P31" i="1"/>
  <c r="Q26" i="1"/>
  <c r="R33" i="1"/>
  <c r="R28" i="1"/>
  <c r="R26" i="1"/>
  <c r="R16" i="1"/>
  <c r="R11" i="1"/>
  <c r="R9" i="1"/>
  <c r="K24" i="1"/>
  <c r="J24" i="1"/>
  <c r="K23" i="1"/>
  <c r="J23" i="1"/>
  <c r="K22" i="1"/>
  <c r="D24" i="1"/>
  <c r="E24" i="1"/>
  <c r="J21" i="1"/>
  <c r="D21" i="1"/>
  <c r="K7" i="1"/>
  <c r="J7" i="1"/>
  <c r="K6" i="1"/>
  <c r="J6" i="1"/>
  <c r="K5" i="1"/>
  <c r="J5" i="1"/>
  <c r="J4" i="1"/>
  <c r="J9" i="1"/>
  <c r="D4" i="1"/>
  <c r="I24" i="1"/>
  <c r="I23" i="1"/>
  <c r="I22" i="1"/>
  <c r="I21" i="1"/>
  <c r="I7" i="1"/>
  <c r="I6" i="1"/>
  <c r="I5" i="1"/>
  <c r="I4" i="1"/>
  <c r="J11" i="1"/>
  <c r="J14" i="1"/>
  <c r="J16" i="1"/>
  <c r="K9" i="1"/>
  <c r="J28" i="1"/>
  <c r="J31" i="1"/>
  <c r="D29" i="1"/>
  <c r="D31" i="1"/>
  <c r="D23" i="1"/>
  <c r="E23" i="1"/>
  <c r="E6" i="1"/>
  <c r="E7" i="1"/>
  <c r="D5" i="1"/>
  <c r="D6" i="1"/>
  <c r="D7" i="1"/>
  <c r="D9" i="1"/>
  <c r="D12" i="1"/>
  <c r="C29" i="1"/>
  <c r="C24" i="1"/>
  <c r="C23" i="1"/>
  <c r="D14" i="1"/>
  <c r="C12" i="1"/>
  <c r="C6" i="1"/>
  <c r="C7" i="1"/>
  <c r="U21" i="1"/>
  <c r="U22" i="1"/>
  <c r="U23" i="1"/>
  <c r="U24" i="1"/>
  <c r="U25" i="1"/>
  <c r="U26" i="1"/>
  <c r="U27" i="1"/>
  <c r="U28" i="1"/>
  <c r="V21" i="1"/>
  <c r="V22" i="1"/>
  <c r="V23" i="1"/>
  <c r="V24" i="1"/>
  <c r="V25" i="1"/>
  <c r="V26" i="1"/>
  <c r="V27" i="1"/>
  <c r="V28" i="1"/>
  <c r="W21" i="1"/>
  <c r="W22" i="1"/>
  <c r="W23" i="1"/>
  <c r="W24" i="1"/>
  <c r="W25" i="1"/>
  <c r="W28" i="1"/>
  <c r="X28" i="1"/>
  <c r="X27" i="1"/>
  <c r="X26" i="1"/>
  <c r="X25" i="1"/>
  <c r="X24" i="1"/>
  <c r="X23" i="1"/>
  <c r="X21" i="1"/>
  <c r="X22" i="1"/>
  <c r="Y22" i="1"/>
  <c r="U6" i="1"/>
  <c r="V6" i="1"/>
  <c r="U10" i="1"/>
  <c r="V4" i="1"/>
  <c r="U4" i="1"/>
  <c r="W4" i="1"/>
  <c r="X4" i="1"/>
  <c r="V5" i="1"/>
  <c r="U5" i="1"/>
  <c r="W5" i="1"/>
  <c r="X5" i="1"/>
  <c r="Y5" i="1"/>
  <c r="U7" i="1"/>
  <c r="W6" i="1"/>
  <c r="W7" i="1"/>
  <c r="W8" i="1"/>
  <c r="W11" i="1"/>
  <c r="V7" i="1"/>
  <c r="V8" i="1"/>
  <c r="U8" i="1"/>
  <c r="X8" i="1"/>
  <c r="X7" i="1"/>
  <c r="X6" i="1"/>
  <c r="V10" i="1"/>
  <c r="X10" i="1"/>
  <c r="V9" i="1"/>
  <c r="V11" i="1"/>
  <c r="U9" i="1"/>
  <c r="X9" i="1"/>
  <c r="U11" i="1"/>
  <c r="X11" i="1"/>
</calcChain>
</file>

<file path=xl/sharedStrings.xml><?xml version="1.0" encoding="utf-8"?>
<sst xmlns="http://schemas.openxmlformats.org/spreadsheetml/2006/main" count="142" uniqueCount="37">
  <si>
    <t>Fringe</t>
  </si>
  <si>
    <t>Travel</t>
  </si>
  <si>
    <t>Equipment</t>
  </si>
  <si>
    <t>M&amp;O</t>
  </si>
  <si>
    <t>Indirect</t>
  </si>
  <si>
    <t>Total</t>
  </si>
  <si>
    <t>Onsite</t>
  </si>
  <si>
    <t>Offsite</t>
  </si>
  <si>
    <t>No IDC</t>
  </si>
  <si>
    <t>UTA Total</t>
  </si>
  <si>
    <t>Salaries</t>
  </si>
  <si>
    <t>Stem</t>
  </si>
  <si>
    <t>Allocated</t>
  </si>
  <si>
    <t>New acct #1</t>
  </si>
  <si>
    <t>New acct #2</t>
  </si>
  <si>
    <t>GRA (1)</t>
  </si>
  <si>
    <t>Tuition (1)</t>
  </si>
  <si>
    <t>Postdoc (1)</t>
  </si>
  <si>
    <t>Faculty (1)</t>
  </si>
  <si>
    <t>FY17</t>
  </si>
  <si>
    <t>GRA</t>
  </si>
  <si>
    <t>UG</t>
  </si>
  <si>
    <t>Sum</t>
  </si>
  <si>
    <t>PI</t>
  </si>
  <si>
    <t>FY18</t>
  </si>
  <si>
    <t>FY19</t>
  </si>
  <si>
    <t>Cat</t>
  </si>
  <si>
    <t>PD</t>
  </si>
  <si>
    <t>On</t>
  </si>
  <si>
    <t>OFF</t>
  </si>
  <si>
    <t>JY</t>
  </si>
  <si>
    <t>JA</t>
  </si>
  <si>
    <t>On/OFF</t>
  </si>
  <si>
    <t>ON</t>
  </si>
  <si>
    <t>Base Salary</t>
  </si>
  <si>
    <t>Undergraduate (2)</t>
  </si>
  <si>
    <t xml:space="preserve">Travel/COLA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</si>
</sst>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B05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/>
    <xf numFmtId="164" fontId="6" fillId="2" borderId="0" xfId="1" applyNumberFormat="1" applyFont="1" applyFill="1"/>
    <xf numFmtId="164" fontId="6" fillId="2" borderId="0" xfId="0" applyNumberFormat="1" applyFont="1" applyFill="1"/>
  </cellXfs>
  <cellStyles count="2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9" workbookViewId="0">
      <selection activeCell="E12" sqref="E12"/>
    </sheetView>
  </sheetViews>
  <sheetFormatPr baseColWidth="10" defaultColWidth="8.83203125" defaultRowHeight="15" x14ac:dyDescent="0.2"/>
  <cols>
    <col min="1" max="1" width="13" style="4" customWidth="1"/>
    <col min="2" max="2" width="17.33203125" customWidth="1"/>
    <col min="3" max="3" width="9.5" style="4" bestFit="1" customWidth="1"/>
    <col min="4" max="4" width="9.5" customWidth="1"/>
    <col min="5" max="5" width="9.33203125" customWidth="1"/>
    <col min="6" max="6" width="10.5" customWidth="1"/>
    <col min="7" max="7" width="5.33203125" customWidth="1"/>
    <col min="8" max="8" width="17" customWidth="1"/>
    <col min="9" max="9" width="9.5" style="4" bestFit="1" customWidth="1"/>
    <col min="10" max="10" width="9.5" customWidth="1"/>
    <col min="11" max="11" width="9.33203125" customWidth="1"/>
    <col min="12" max="12" width="10.5" customWidth="1"/>
    <col min="13" max="13" width="5.1640625" customWidth="1"/>
    <col min="14" max="14" width="18.33203125" customWidth="1"/>
    <col min="15" max="15" width="9.5" style="4" bestFit="1" customWidth="1"/>
    <col min="16" max="16" width="9.5" customWidth="1"/>
    <col min="17" max="17" width="9.33203125" customWidth="1"/>
    <col min="18" max="18" width="10.5" customWidth="1"/>
    <col min="19" max="19" width="6.1640625" customWidth="1"/>
    <col min="20" max="20" width="10.5" bestFit="1" customWidth="1"/>
    <col min="21" max="21" width="13.33203125" bestFit="1" customWidth="1"/>
    <col min="22" max="22" width="12.83203125" customWidth="1"/>
    <col min="23" max="23" width="13.6640625" customWidth="1"/>
    <col min="24" max="24" width="12.5" customWidth="1"/>
  </cols>
  <sheetData>
    <row r="1" spans="1:25" x14ac:dyDescent="0.2">
      <c r="A1" s="4" t="s">
        <v>23</v>
      </c>
    </row>
    <row r="2" spans="1:25" x14ac:dyDescent="0.2">
      <c r="B2" s="8" t="s">
        <v>19</v>
      </c>
      <c r="C2" s="8"/>
      <c r="D2" s="8"/>
      <c r="E2" s="8"/>
      <c r="F2" s="8"/>
      <c r="H2" s="8" t="s">
        <v>24</v>
      </c>
      <c r="I2" s="8"/>
      <c r="J2" s="8"/>
      <c r="K2" s="8"/>
      <c r="L2" s="8"/>
      <c r="N2" s="8" t="s">
        <v>25</v>
      </c>
      <c r="O2" s="8"/>
      <c r="P2" s="8"/>
      <c r="Q2" s="8"/>
      <c r="R2" s="8"/>
    </row>
    <row r="3" spans="1:25" s="2" customFormat="1" x14ac:dyDescent="0.2">
      <c r="A3" s="7" t="s">
        <v>30</v>
      </c>
      <c r="C3" s="4" t="s">
        <v>34</v>
      </c>
      <c r="D3" s="4" t="s">
        <v>6</v>
      </c>
      <c r="E3" s="4" t="s">
        <v>7</v>
      </c>
      <c r="F3" s="4" t="s">
        <v>22</v>
      </c>
      <c r="I3" s="4" t="s">
        <v>34</v>
      </c>
      <c r="J3" s="4" t="s">
        <v>6</v>
      </c>
      <c r="K3" s="4" t="s">
        <v>7</v>
      </c>
      <c r="L3" s="4" t="s">
        <v>22</v>
      </c>
      <c r="O3" s="4" t="s">
        <v>34</v>
      </c>
      <c r="P3" s="4" t="s">
        <v>6</v>
      </c>
      <c r="Q3" s="4" t="s">
        <v>7</v>
      </c>
      <c r="R3" s="4" t="s">
        <v>22</v>
      </c>
      <c r="U3" s="2" t="s">
        <v>13</v>
      </c>
      <c r="V3" s="2" t="s">
        <v>14</v>
      </c>
    </row>
    <row r="4" spans="1:25" x14ac:dyDescent="0.2">
      <c r="A4" s="7"/>
      <c r="B4" t="s">
        <v>18</v>
      </c>
      <c r="C4" s="4">
        <v>121607</v>
      </c>
      <c r="D4" s="1">
        <f>ROUND(C4*2*'Personnel Time Distriubtion'!D2/9,1)</f>
        <v>27023.8</v>
      </c>
      <c r="E4" s="1"/>
      <c r="F4" s="1">
        <f>SUM(D4:E4)</f>
        <v>27023.8</v>
      </c>
      <c r="G4" s="1"/>
      <c r="H4" t="s">
        <v>18</v>
      </c>
      <c r="I4" s="4">
        <f>C4*1.04</f>
        <v>126471.28</v>
      </c>
      <c r="J4" s="1">
        <f>ROUND(I4*2*'Personnel Time Distriubtion'!E2/9,1)</f>
        <v>28104.7</v>
      </c>
      <c r="K4" s="1"/>
      <c r="L4" s="1">
        <f>SUM(J4:K4)</f>
        <v>28104.7</v>
      </c>
      <c r="M4" s="1"/>
      <c r="N4" t="s">
        <v>18</v>
      </c>
      <c r="O4" s="4">
        <f>I4*1.04</f>
        <v>131530.1312</v>
      </c>
      <c r="P4" s="1">
        <f>ROUND(O4*2*'Personnel Time Distriubtion'!F2/9,1)</f>
        <v>29228.9</v>
      </c>
      <c r="Q4" s="1"/>
      <c r="R4" s="1">
        <f>SUM(P4:Q4)</f>
        <v>29228.9</v>
      </c>
      <c r="T4" t="s">
        <v>10</v>
      </c>
      <c r="U4" s="3">
        <f>SUM(D4:D7)</f>
        <v>73523.8</v>
      </c>
      <c r="V4" s="3">
        <f>SUM(E4:E7)</f>
        <v>41500</v>
      </c>
      <c r="W4" s="3">
        <f>SUM(F4:F7)</f>
        <v>115023.8</v>
      </c>
      <c r="X4" s="3">
        <f>SUM(U4:W4)</f>
        <v>230047.6</v>
      </c>
    </row>
    <row r="5" spans="1:25" x14ac:dyDescent="0.2">
      <c r="A5" s="7"/>
      <c r="B5" t="s">
        <v>17</v>
      </c>
      <c r="C5" s="4">
        <v>54000</v>
      </c>
      <c r="D5" s="1">
        <f>C5*'Personnel Time Distriubtion'!D3</f>
        <v>27000</v>
      </c>
      <c r="E5" s="1">
        <f>C5*'Personnel Time Distriubtion'!D4</f>
        <v>27000</v>
      </c>
      <c r="F5" s="1">
        <f t="shared" ref="F5:F7" si="0">SUM(D5:E5)</f>
        <v>54000</v>
      </c>
      <c r="G5" s="1"/>
      <c r="H5" t="s">
        <v>17</v>
      </c>
      <c r="I5" s="4">
        <f t="shared" ref="I5:I7" si="1">C5*1.04</f>
        <v>56160</v>
      </c>
      <c r="J5" s="1">
        <f>I5*'Personnel Time Distriubtion'!E3</f>
        <v>0</v>
      </c>
      <c r="K5" s="1">
        <f>I5*'Personnel Time Distriubtion'!E4</f>
        <v>56160</v>
      </c>
      <c r="L5" s="1">
        <f t="shared" ref="L5:L7" si="2">SUM(J5:K5)</f>
        <v>56160</v>
      </c>
      <c r="M5" s="1"/>
      <c r="N5" t="s">
        <v>17</v>
      </c>
      <c r="O5" s="4">
        <f t="shared" ref="O5:O7" si="3">I5*1.04</f>
        <v>58406.400000000001</v>
      </c>
      <c r="P5" s="1">
        <f>O5*'Personnel Time Distriubtion'!F3</f>
        <v>0</v>
      </c>
      <c r="Q5" s="1">
        <f>O5*'Personnel Time Distriubtion'!F4</f>
        <v>58406.400000000001</v>
      </c>
      <c r="R5" s="1">
        <f t="shared" ref="R5:R7" si="4">SUM(P5:Q5)</f>
        <v>58406.400000000001</v>
      </c>
      <c r="T5" t="s">
        <v>0</v>
      </c>
      <c r="U5" s="3">
        <f>D9</f>
        <v>18044.64</v>
      </c>
      <c r="V5" s="3">
        <f>E9</f>
        <v>9512.5</v>
      </c>
      <c r="W5" s="3">
        <f>F9</f>
        <v>27557.14</v>
      </c>
      <c r="X5" s="3">
        <f t="shared" ref="X5:X10" si="5">SUM(U5:W5)</f>
        <v>55114.28</v>
      </c>
      <c r="Y5" s="3">
        <f>X4+X5</f>
        <v>285161.88</v>
      </c>
    </row>
    <row r="6" spans="1:25" x14ac:dyDescent="0.2">
      <c r="A6" s="7"/>
      <c r="B6" t="s">
        <v>15</v>
      </c>
      <c r="C6" s="4">
        <f>2000*12</f>
        <v>24000</v>
      </c>
      <c r="D6" s="1">
        <f>C6*'Personnel Time Distriubtion'!D5</f>
        <v>12000</v>
      </c>
      <c r="E6" s="1">
        <f>C6*'Personnel Time Distriubtion'!D6</f>
        <v>12000</v>
      </c>
      <c r="F6" s="1">
        <f t="shared" si="0"/>
        <v>24000</v>
      </c>
      <c r="G6" s="1"/>
      <c r="H6" t="s">
        <v>15</v>
      </c>
      <c r="I6" s="4">
        <f t="shared" si="1"/>
        <v>24960</v>
      </c>
      <c r="J6" s="1">
        <f>I6*'Personnel Time Distriubtion'!E5</f>
        <v>12480</v>
      </c>
      <c r="K6" s="1">
        <f>I6*'Personnel Time Distriubtion'!E6</f>
        <v>12480</v>
      </c>
      <c r="L6" s="1">
        <f t="shared" si="2"/>
        <v>24960</v>
      </c>
      <c r="M6" s="1"/>
      <c r="N6" t="s">
        <v>15</v>
      </c>
      <c r="O6" s="4">
        <f t="shared" si="3"/>
        <v>25958.400000000001</v>
      </c>
      <c r="P6" s="1">
        <f>O6*'Personnel Time Distriubtion'!F5</f>
        <v>0</v>
      </c>
      <c r="Q6" s="1">
        <f>O6*'Personnel Time Distriubtion'!F6</f>
        <v>25958.400000000001</v>
      </c>
      <c r="R6" s="1">
        <f t="shared" si="4"/>
        <v>25958.400000000001</v>
      </c>
      <c r="T6" t="s">
        <v>1</v>
      </c>
      <c r="U6" s="3">
        <f>D11</f>
        <v>5000</v>
      </c>
      <c r="V6" s="3">
        <f>E11</f>
        <v>7833.3333333333339</v>
      </c>
      <c r="W6" s="3">
        <f t="shared" ref="U6:W7" si="6">F11</f>
        <v>12833.333333333334</v>
      </c>
      <c r="X6" s="3">
        <f t="shared" si="5"/>
        <v>25666.666666666668</v>
      </c>
    </row>
    <row r="7" spans="1:25" x14ac:dyDescent="0.2">
      <c r="A7" s="7"/>
      <c r="B7" t="s">
        <v>35</v>
      </c>
      <c r="C7" s="4">
        <f>12.5*10*40</f>
        <v>5000</v>
      </c>
      <c r="D7" s="1">
        <f>C7*'Personnel Time Distriubtion'!D7</f>
        <v>7500</v>
      </c>
      <c r="E7" s="1">
        <f>C7*'Personnel Time Distriubtion'!D8</f>
        <v>2500</v>
      </c>
      <c r="F7" s="1">
        <f t="shared" si="0"/>
        <v>10000</v>
      </c>
      <c r="G7" s="1"/>
      <c r="H7" t="s">
        <v>35</v>
      </c>
      <c r="I7" s="4">
        <f t="shared" si="1"/>
        <v>5200</v>
      </c>
      <c r="J7" s="1">
        <f>I7*'Personnel Time Distriubtion'!E7</f>
        <v>7800</v>
      </c>
      <c r="K7" s="1">
        <f>I7*'Personnel Time Distriubtion'!E8</f>
        <v>2600</v>
      </c>
      <c r="L7" s="1">
        <f t="shared" si="2"/>
        <v>10400</v>
      </c>
      <c r="M7" s="1"/>
      <c r="N7" t="s">
        <v>35</v>
      </c>
      <c r="O7" s="4">
        <f t="shared" si="3"/>
        <v>5408</v>
      </c>
      <c r="P7" s="1">
        <f>O7*'Personnel Time Distriubtion'!F7</f>
        <v>8112</v>
      </c>
      <c r="Q7" s="1">
        <f>O7*'Personnel Time Distriubtion'!F8</f>
        <v>2704</v>
      </c>
      <c r="R7" s="1">
        <f t="shared" si="4"/>
        <v>10816</v>
      </c>
      <c r="T7" t="s">
        <v>11</v>
      </c>
      <c r="U7" s="3">
        <f t="shared" si="6"/>
        <v>9140</v>
      </c>
      <c r="V7" s="3">
        <f t="shared" si="6"/>
        <v>0</v>
      </c>
      <c r="W7" s="3">
        <f t="shared" si="6"/>
        <v>9140</v>
      </c>
      <c r="X7" s="3">
        <f t="shared" si="5"/>
        <v>18280</v>
      </c>
    </row>
    <row r="8" spans="1:25" x14ac:dyDescent="0.2">
      <c r="A8" s="7"/>
      <c r="D8" s="1"/>
      <c r="E8" s="1"/>
      <c r="F8" s="1"/>
      <c r="G8" s="1"/>
      <c r="J8" s="1"/>
      <c r="K8" s="1"/>
      <c r="L8" s="1"/>
      <c r="M8" s="1"/>
      <c r="P8" s="1"/>
      <c r="Q8" s="1"/>
      <c r="R8" s="1"/>
      <c r="T8" t="s">
        <v>3</v>
      </c>
      <c r="U8" s="3">
        <f>D14</f>
        <v>2500</v>
      </c>
      <c r="V8" s="3">
        <f>E14</f>
        <v>0</v>
      </c>
      <c r="W8" s="3">
        <f>F14</f>
        <v>2500</v>
      </c>
      <c r="X8" s="3">
        <f t="shared" si="5"/>
        <v>5000</v>
      </c>
    </row>
    <row r="9" spans="1:25" x14ac:dyDescent="0.2">
      <c r="A9" s="7"/>
      <c r="B9" t="s">
        <v>0</v>
      </c>
      <c r="D9" s="1">
        <f>D4*0.3+D5*0.3+D6*0.1+D7*0.085</f>
        <v>18044.64</v>
      </c>
      <c r="E9" s="1">
        <f>E4*0.3+E5*0.3+E6*0.1+E7*0.085</f>
        <v>9512.5</v>
      </c>
      <c r="F9" s="1">
        <f>D9+E9</f>
        <v>27557.14</v>
      </c>
      <c r="G9" s="1"/>
      <c r="H9" t="s">
        <v>0</v>
      </c>
      <c r="J9" s="1">
        <f>J4*0.3+J5*0.3+J6*0.1+J7*0.085</f>
        <v>10342.41</v>
      </c>
      <c r="K9" s="1">
        <f>K4*0.3+K5*0.3+K6*0.1+K7*0.085</f>
        <v>18317</v>
      </c>
      <c r="L9" s="1">
        <f>J9+K9</f>
        <v>28659.41</v>
      </c>
      <c r="M9" s="1"/>
      <c r="N9" t="s">
        <v>0</v>
      </c>
      <c r="P9" s="1">
        <f>P4*0.3+P5*0.3+P6*0.1+P7*0.085</f>
        <v>9458.19</v>
      </c>
      <c r="Q9" s="1">
        <f>Q4*0.3+Q5*0.3+Q6*0.1+Q7*0.085</f>
        <v>20347.599999999999</v>
      </c>
      <c r="R9" s="1">
        <f>P9+Q9</f>
        <v>29805.79</v>
      </c>
      <c r="U9" s="3">
        <f>SUM(U4:U8)</f>
        <v>108208.44</v>
      </c>
      <c r="V9" s="3">
        <f>SUM(V4:V8)</f>
        <v>58845.833333333336</v>
      </c>
      <c r="X9" s="3">
        <f t="shared" si="5"/>
        <v>167054.27333333335</v>
      </c>
    </row>
    <row r="10" spans="1:25" x14ac:dyDescent="0.2">
      <c r="A10" s="7"/>
      <c r="D10" s="1"/>
      <c r="E10" s="1"/>
      <c r="F10" s="1"/>
      <c r="G10" s="1"/>
      <c r="J10" s="1"/>
      <c r="K10" s="1"/>
      <c r="L10" s="1"/>
      <c r="M10" s="1"/>
      <c r="P10" s="1"/>
      <c r="Q10" s="1"/>
      <c r="R10" s="1"/>
      <c r="T10" t="s">
        <v>4</v>
      </c>
      <c r="U10" s="3">
        <f>D16</f>
        <v>51020.246600000006</v>
      </c>
      <c r="V10" s="3">
        <f>E16</f>
        <v>15299.916666666668</v>
      </c>
      <c r="X10" s="3">
        <f t="shared" si="5"/>
        <v>66320.16326666667</v>
      </c>
    </row>
    <row r="11" spans="1:25" x14ac:dyDescent="0.2">
      <c r="A11" s="7"/>
      <c r="B11" t="s">
        <v>36</v>
      </c>
      <c r="C11" s="4">
        <v>10000</v>
      </c>
      <c r="D11" s="6">
        <f>C11/2</f>
        <v>5000</v>
      </c>
      <c r="E11" s="1">
        <f>300*12*'Personnel Time Distriubtion'!D6+450*12*'Personnel Time Distriubtion'!D4+C11/3</f>
        <v>7833.3333333333339</v>
      </c>
      <c r="F11" s="1">
        <f>D11+E11</f>
        <v>12833.333333333334</v>
      </c>
      <c r="G11" s="1"/>
      <c r="H11" t="s">
        <v>36</v>
      </c>
      <c r="I11" s="4">
        <v>10000</v>
      </c>
      <c r="J11" s="6">
        <f>I11/2</f>
        <v>5000</v>
      </c>
      <c r="K11" s="1">
        <f>1000*12*'Personnel Time Distriubtion'!E6+450*6*'Personnel Time Distriubtion'!E4+1600*6*'Personnel Time Distriubtion'!E4+I11/3</f>
        <v>21633.333333333332</v>
      </c>
      <c r="L11" s="1">
        <f>J11+K11</f>
        <v>26633.333333333332</v>
      </c>
      <c r="M11" s="1"/>
      <c r="N11" t="s">
        <v>36</v>
      </c>
      <c r="O11" s="4">
        <v>10000</v>
      </c>
      <c r="P11" s="6">
        <f>O11/2</f>
        <v>5000</v>
      </c>
      <c r="Q11" s="1">
        <f>1000*6*'Personnel Time Distriubtion'!F6+300*6*'Personnel Time Distriubtion'!F6+450*6*'Personnel Time Distriubtion'!F4+1600*6*'Personnel Time Distriubtion'!F4+O11/3</f>
        <v>23433.333333333332</v>
      </c>
      <c r="R11" s="1">
        <f>P11+Q11</f>
        <v>28433.333333333332</v>
      </c>
      <c r="U11" s="3">
        <f>SUM(U9:U10)</f>
        <v>159228.68660000002</v>
      </c>
      <c r="V11" s="3">
        <f>SUM(V9:V10)</f>
        <v>74145.75</v>
      </c>
      <c r="W11" s="3">
        <f>SUM(W4:W8)</f>
        <v>167054.27333333335</v>
      </c>
      <c r="X11" s="3">
        <f>SUM(U11:W11)</f>
        <v>400428.70993333333</v>
      </c>
    </row>
    <row r="12" spans="1:25" x14ac:dyDescent="0.2">
      <c r="A12" s="7"/>
      <c r="B12" t="s">
        <v>16</v>
      </c>
      <c r="C12" s="4">
        <f>3394*2+2352</f>
        <v>9140</v>
      </c>
      <c r="D12" s="1">
        <f>C12*('Personnel Time Distriubtion'!D5+'Personnel Time Distriubtion'!D6)</f>
        <v>9140</v>
      </c>
      <c r="E12" s="1"/>
      <c r="F12" s="1">
        <f t="shared" ref="F12:F14" si="7">SUM(D12:E12)</f>
        <v>9140</v>
      </c>
      <c r="G12" s="1"/>
      <c r="H12" t="s">
        <v>16</v>
      </c>
      <c r="I12" s="4">
        <f>ROUND(C12*1.04,1)</f>
        <v>9505.6</v>
      </c>
      <c r="J12" s="1">
        <f>I12*('Personnel Time Distriubtion'!E5+'Personnel Time Distriubtion'!E6)</f>
        <v>9505.6</v>
      </c>
      <c r="K12" s="1"/>
      <c r="L12" s="1">
        <f t="shared" ref="L12:L14" si="8">SUM(J12:K12)</f>
        <v>9505.6</v>
      </c>
      <c r="M12" s="1"/>
      <c r="N12" t="s">
        <v>16</v>
      </c>
      <c r="O12" s="4">
        <f>ROUND(I12*1.04,1)</f>
        <v>9885.7999999999993</v>
      </c>
      <c r="P12" s="1">
        <f>O12*('Personnel Time Distriubtion'!F5+'Personnel Time Distriubtion'!F6)</f>
        <v>9885.7999999999993</v>
      </c>
      <c r="Q12" s="1"/>
      <c r="R12" s="1">
        <f t="shared" ref="R12:R14" si="9">SUM(P12:Q12)</f>
        <v>9885.7999999999993</v>
      </c>
      <c r="U12" s="1"/>
      <c r="V12" s="1"/>
      <c r="W12" s="1"/>
    </row>
    <row r="13" spans="1:25" x14ac:dyDescent="0.2">
      <c r="A13" s="7"/>
      <c r="B13" t="s">
        <v>2</v>
      </c>
      <c r="D13" s="1"/>
      <c r="E13" s="1"/>
      <c r="F13" s="1">
        <f t="shared" si="7"/>
        <v>0</v>
      </c>
      <c r="G13" s="1"/>
      <c r="H13" t="s">
        <v>2</v>
      </c>
      <c r="J13" s="1"/>
      <c r="K13" s="1"/>
      <c r="L13" s="1">
        <f t="shared" si="8"/>
        <v>0</v>
      </c>
      <c r="M13" s="1"/>
      <c r="N13" t="s">
        <v>2</v>
      </c>
      <c r="P13" s="1"/>
      <c r="Q13" s="1"/>
      <c r="R13" s="1">
        <f t="shared" si="9"/>
        <v>0</v>
      </c>
      <c r="U13" s="1"/>
      <c r="V13" s="1"/>
      <c r="W13" s="1"/>
    </row>
    <row r="14" spans="1:25" x14ac:dyDescent="0.2">
      <c r="A14" s="7"/>
      <c r="B14" t="s">
        <v>3</v>
      </c>
      <c r="C14" s="4">
        <v>5000</v>
      </c>
      <c r="D14" s="1">
        <f>C14/2</f>
        <v>2500</v>
      </c>
      <c r="E14" s="1"/>
      <c r="F14" s="1">
        <f t="shared" si="7"/>
        <v>2500</v>
      </c>
      <c r="G14" s="1"/>
      <c r="H14" t="s">
        <v>3</v>
      </c>
      <c r="I14" s="4">
        <v>5000</v>
      </c>
      <c r="J14" s="1">
        <f>I14/2</f>
        <v>2500</v>
      </c>
      <c r="K14" s="1"/>
      <c r="L14" s="1">
        <f t="shared" si="8"/>
        <v>2500</v>
      </c>
      <c r="M14" s="1"/>
      <c r="N14" t="s">
        <v>3</v>
      </c>
      <c r="O14" s="4">
        <v>5000</v>
      </c>
      <c r="P14" s="1">
        <f>O14/2</f>
        <v>2500</v>
      </c>
      <c r="Q14" s="1"/>
      <c r="R14" s="1">
        <f t="shared" si="9"/>
        <v>2500</v>
      </c>
      <c r="U14" s="1"/>
      <c r="V14" s="1"/>
      <c r="W14" s="1"/>
    </row>
    <row r="15" spans="1:25" x14ac:dyDescent="0.2">
      <c r="A15" s="7"/>
      <c r="D15" s="1"/>
      <c r="E15" s="1"/>
      <c r="F15" s="1"/>
      <c r="G15" s="1"/>
      <c r="J15" s="1"/>
      <c r="K15" s="1"/>
      <c r="L15" s="1"/>
      <c r="M15" s="1"/>
      <c r="P15" s="1"/>
      <c r="Q15" s="1"/>
      <c r="R15" s="1"/>
      <c r="U15" s="1"/>
      <c r="V15" s="1"/>
      <c r="W15" s="1"/>
    </row>
    <row r="16" spans="1:25" x14ac:dyDescent="0.2">
      <c r="A16" s="7"/>
      <c r="B16" t="s">
        <v>4</v>
      </c>
      <c r="D16" s="1">
        <f>SUM(D4:D11,D14)*0.515</f>
        <v>51020.246600000006</v>
      </c>
      <c r="E16" s="1">
        <f>SUM(E4:E11,E14)*0.26</f>
        <v>15299.916666666668</v>
      </c>
      <c r="F16" s="1">
        <f>D16+E16</f>
        <v>66320.16326666667</v>
      </c>
      <c r="G16" s="1"/>
      <c r="H16" t="s">
        <v>4</v>
      </c>
      <c r="J16" s="1">
        <f>SUM(J4:J11,J14)*0.515</f>
        <v>34106.961650000005</v>
      </c>
      <c r="K16" s="1">
        <f>SUM(K4:K11,K14)*0.26</f>
        <v>28909.486666666668</v>
      </c>
      <c r="L16" s="1">
        <f>J16+K16</f>
        <v>63016.448316666676</v>
      </c>
      <c r="M16" s="1"/>
      <c r="N16" t="s">
        <v>4</v>
      </c>
      <c r="P16" s="1">
        <f>SUM(P4:P11,P14)*0.515</f>
        <v>27964.031350000001</v>
      </c>
      <c r="Q16" s="1">
        <f>SUM(Q4:Q11,Q14)*0.26</f>
        <v>34020.930666666667</v>
      </c>
      <c r="R16" s="1">
        <f>P16+Q16</f>
        <v>61984.962016666672</v>
      </c>
      <c r="U16" s="1"/>
      <c r="V16" s="1"/>
      <c r="W16" s="1"/>
    </row>
    <row r="17" spans="1:25" x14ac:dyDescent="0.2">
      <c r="A17" s="7"/>
      <c r="B17" t="s">
        <v>5</v>
      </c>
      <c r="D17" s="1">
        <f>SUM(D4:D16)</f>
        <v>159228.68660000002</v>
      </c>
      <c r="E17" s="1">
        <f>SUM(E4:E16)</f>
        <v>74145.75</v>
      </c>
      <c r="F17" s="11">
        <f>D17+E17</f>
        <v>233374.43660000002</v>
      </c>
      <c r="G17" s="1"/>
      <c r="H17" t="s">
        <v>5</v>
      </c>
      <c r="J17" s="1">
        <f>SUM(J4:J16)</f>
        <v>109839.67165</v>
      </c>
      <c r="K17" s="1">
        <f t="shared" ref="K17:L17" si="10">SUM(K4:K16)</f>
        <v>140099.82</v>
      </c>
      <c r="L17" s="11">
        <f>J17+K17</f>
        <v>249939.49165000001</v>
      </c>
      <c r="M17" s="1"/>
      <c r="N17" t="s">
        <v>5</v>
      </c>
      <c r="P17" s="1">
        <f>SUM(P4:P16)</f>
        <v>92148.921350000004</v>
      </c>
      <c r="Q17" s="1">
        <f t="shared" ref="Q17:R17" si="11">SUM(Q4:Q16)</f>
        <v>164870.66399999999</v>
      </c>
      <c r="R17" s="11">
        <f>P17+Q17</f>
        <v>257019.58535000001</v>
      </c>
      <c r="U17" s="1"/>
      <c r="V17" s="1"/>
      <c r="W17" s="1"/>
    </row>
    <row r="18" spans="1:25" x14ac:dyDescent="0.2">
      <c r="A18" s="7"/>
      <c r="U18" s="1"/>
      <c r="V18" s="1"/>
      <c r="W18" s="1"/>
    </row>
    <row r="19" spans="1:25" x14ac:dyDescent="0.2">
      <c r="D19" s="1"/>
      <c r="H19" t="s">
        <v>12</v>
      </c>
      <c r="J19" s="1"/>
      <c r="N19" t="s">
        <v>12</v>
      </c>
      <c r="P19" s="1"/>
    </row>
    <row r="20" spans="1:25" s="2" customFormat="1" x14ac:dyDescent="0.2">
      <c r="A20" s="7" t="s">
        <v>31</v>
      </c>
      <c r="C20" s="4"/>
      <c r="D20" s="2" t="s">
        <v>6</v>
      </c>
      <c r="E20" s="2" t="s">
        <v>7</v>
      </c>
      <c r="F20" s="2" t="s">
        <v>8</v>
      </c>
      <c r="I20" s="4"/>
      <c r="J20" s="2" t="s">
        <v>6</v>
      </c>
      <c r="K20" s="2" t="s">
        <v>7</v>
      </c>
      <c r="L20" s="2" t="s">
        <v>8</v>
      </c>
      <c r="O20" s="4"/>
      <c r="P20" s="2" t="s">
        <v>6</v>
      </c>
      <c r="Q20" s="2" t="s">
        <v>7</v>
      </c>
      <c r="R20" s="2" t="s">
        <v>8</v>
      </c>
      <c r="U20" s="2" t="s">
        <v>13</v>
      </c>
      <c r="V20" s="2" t="s">
        <v>14</v>
      </c>
    </row>
    <row r="21" spans="1:25" x14ac:dyDescent="0.2">
      <c r="A21" s="7"/>
      <c r="B21" t="s">
        <v>18</v>
      </c>
      <c r="C21" s="4">
        <v>84460</v>
      </c>
      <c r="D21" s="1">
        <f>ROUND(C21*2*'Personnel Time Distriubtion'!D10/9,1)</f>
        <v>18768.900000000001</v>
      </c>
      <c r="E21" s="1"/>
      <c r="F21" s="1">
        <f t="shared" ref="F21:F24" si="12">SUM(D21:E21)</f>
        <v>18768.900000000001</v>
      </c>
      <c r="G21" s="1"/>
      <c r="H21" t="s">
        <v>18</v>
      </c>
      <c r="I21" s="4">
        <f t="shared" ref="I21:I24" si="13">C21*1.04</f>
        <v>87838.400000000009</v>
      </c>
      <c r="J21" s="1">
        <f>ROUND(I21*2*'Personnel Time Distriubtion'!E10/9,1)</f>
        <v>19519.599999999999</v>
      </c>
      <c r="K21" s="1"/>
      <c r="L21" s="1">
        <f t="shared" ref="L21:L24" si="14">SUM(J21:K21)</f>
        <v>19519.599999999999</v>
      </c>
      <c r="M21" s="1"/>
      <c r="N21" t="s">
        <v>18</v>
      </c>
      <c r="O21" s="4">
        <f t="shared" ref="O21:O24" si="15">I21*1.04</f>
        <v>91351.936000000016</v>
      </c>
      <c r="P21" s="1">
        <f>ROUND(O21*2*'Personnel Time Distriubtion'!F10/9,1)</f>
        <v>20300.400000000001</v>
      </c>
      <c r="Q21" s="1"/>
      <c r="R21" s="1">
        <f t="shared" ref="R21:R24" si="16">SUM(P21:Q21)</f>
        <v>20300.400000000001</v>
      </c>
      <c r="T21" t="s">
        <v>10</v>
      </c>
      <c r="U21" s="3">
        <f>SUM(D21:D24)</f>
        <v>38268.9</v>
      </c>
      <c r="V21" s="3">
        <f t="shared" ref="V21" si="17">SUM(E21:E24)</f>
        <v>41500</v>
      </c>
      <c r="W21" s="3">
        <f t="shared" ref="W21" si="18">SUM(F21:F24)</f>
        <v>79768.899999999994</v>
      </c>
      <c r="X21" s="3">
        <f>SUM(U21:W21)</f>
        <v>159537.79999999999</v>
      </c>
    </row>
    <row r="22" spans="1:25" x14ac:dyDescent="0.2">
      <c r="A22" s="7"/>
      <c r="B22" t="s">
        <v>17</v>
      </c>
      <c r="C22" s="4">
        <v>54000</v>
      </c>
      <c r="D22" s="1">
        <f>C22*'Personnel Time Distriubtion'!D11</f>
        <v>0</v>
      </c>
      <c r="E22" s="1">
        <f>C22*'Personnel Time Distriubtion'!D12</f>
        <v>27000</v>
      </c>
      <c r="F22" s="1">
        <f t="shared" si="12"/>
        <v>27000</v>
      </c>
      <c r="G22" s="1"/>
      <c r="H22" t="s">
        <v>17</v>
      </c>
      <c r="I22" s="4">
        <f t="shared" si="13"/>
        <v>56160</v>
      </c>
      <c r="J22" s="1">
        <f>I22*'Personnel Time Distriubtion'!E11</f>
        <v>0</v>
      </c>
      <c r="K22" s="1">
        <f>I22*'Personnel Time Distriubtion'!E12</f>
        <v>56160</v>
      </c>
      <c r="L22" s="1">
        <f t="shared" si="14"/>
        <v>56160</v>
      </c>
      <c r="M22" s="1"/>
      <c r="N22" t="s">
        <v>17</v>
      </c>
      <c r="O22" s="4">
        <f t="shared" si="15"/>
        <v>58406.400000000001</v>
      </c>
      <c r="P22" s="1">
        <f>O22*'Personnel Time Distriubtion'!F11</f>
        <v>0</v>
      </c>
      <c r="Q22" s="1">
        <f>O22*'Personnel Time Distriubtion'!F12</f>
        <v>58406.400000000001</v>
      </c>
      <c r="R22" s="1">
        <f t="shared" si="16"/>
        <v>58406.400000000001</v>
      </c>
      <c r="T22" t="s">
        <v>0</v>
      </c>
      <c r="U22" s="3">
        <f>D26</f>
        <v>7468.17</v>
      </c>
      <c r="V22" s="3">
        <f t="shared" ref="V22" si="19">E26</f>
        <v>9512.5</v>
      </c>
      <c r="W22" s="3">
        <f t="shared" ref="W22" si="20">F26</f>
        <v>16980.669999999998</v>
      </c>
      <c r="X22" s="3">
        <f t="shared" ref="X22:X27" si="21">SUM(U22:W22)</f>
        <v>33961.339999999997</v>
      </c>
      <c r="Y22" s="3">
        <f>X21+X22</f>
        <v>193499.13999999998</v>
      </c>
    </row>
    <row r="23" spans="1:25" x14ac:dyDescent="0.2">
      <c r="A23" s="7"/>
      <c r="B23" t="s">
        <v>15</v>
      </c>
      <c r="C23" s="4">
        <f>2000*12</f>
        <v>24000</v>
      </c>
      <c r="D23" s="1">
        <f>C23*'Personnel Time Distriubtion'!D13</f>
        <v>12000</v>
      </c>
      <c r="E23" s="1">
        <f>C23*'Personnel Time Distriubtion'!D14</f>
        <v>12000</v>
      </c>
      <c r="F23" s="1">
        <f t="shared" si="12"/>
        <v>24000</v>
      </c>
      <c r="G23" s="1"/>
      <c r="H23" t="s">
        <v>15</v>
      </c>
      <c r="I23" s="4">
        <f t="shared" si="13"/>
        <v>24960</v>
      </c>
      <c r="J23" s="1">
        <f>I23*'Personnel Time Distriubtion'!E13</f>
        <v>12480</v>
      </c>
      <c r="K23" s="1">
        <f>I23*'Personnel Time Distriubtion'!E14</f>
        <v>12480</v>
      </c>
      <c r="L23" s="1">
        <f t="shared" si="14"/>
        <v>24960</v>
      </c>
      <c r="M23" s="1"/>
      <c r="N23" t="s">
        <v>15</v>
      </c>
      <c r="O23" s="4">
        <f t="shared" si="15"/>
        <v>25958.400000000001</v>
      </c>
      <c r="P23" s="1">
        <f>O23*'Personnel Time Distriubtion'!F13</f>
        <v>0</v>
      </c>
      <c r="Q23" s="1">
        <f>O23*'Personnel Time Distriubtion'!F14</f>
        <v>25958.400000000001</v>
      </c>
      <c r="R23" s="1">
        <f t="shared" si="16"/>
        <v>25958.400000000001</v>
      </c>
      <c r="T23" t="s">
        <v>1</v>
      </c>
      <c r="U23" s="3">
        <f>D28</f>
        <v>5000</v>
      </c>
      <c r="V23" s="3">
        <f>E28</f>
        <v>14733.333333333334</v>
      </c>
      <c r="W23" s="3">
        <f t="shared" ref="W23:W24" si="22">F28</f>
        <v>19733.333333333336</v>
      </c>
      <c r="X23" s="3">
        <f t="shared" si="21"/>
        <v>39466.666666666672</v>
      </c>
    </row>
    <row r="24" spans="1:25" x14ac:dyDescent="0.2">
      <c r="A24" s="7"/>
      <c r="B24" t="s">
        <v>35</v>
      </c>
      <c r="C24" s="4">
        <f>12.5*10*40</f>
        <v>5000</v>
      </c>
      <c r="D24" s="1">
        <f>C24*'Personnel Time Distriubtion'!D15</f>
        <v>7500</v>
      </c>
      <c r="E24" s="1">
        <f>C24*'Personnel Time Distriubtion'!D16</f>
        <v>2500</v>
      </c>
      <c r="F24" s="1">
        <f t="shared" si="12"/>
        <v>10000</v>
      </c>
      <c r="G24" s="1"/>
      <c r="H24" t="s">
        <v>35</v>
      </c>
      <c r="I24" s="4">
        <f t="shared" si="13"/>
        <v>5200</v>
      </c>
      <c r="J24" s="1">
        <f>I24*'Personnel Time Distriubtion'!E15</f>
        <v>7800</v>
      </c>
      <c r="K24" s="1">
        <f>I24*'Personnel Time Distriubtion'!E16</f>
        <v>2600</v>
      </c>
      <c r="L24" s="1">
        <f t="shared" si="14"/>
        <v>10400</v>
      </c>
      <c r="M24" s="1"/>
      <c r="N24" t="s">
        <v>35</v>
      </c>
      <c r="O24" s="4">
        <f t="shared" si="15"/>
        <v>5408</v>
      </c>
      <c r="P24" s="1">
        <f>O24*'Personnel Time Distriubtion'!F15</f>
        <v>8112</v>
      </c>
      <c r="Q24" s="1">
        <f>O24*'Personnel Time Distriubtion'!F16</f>
        <v>2704</v>
      </c>
      <c r="R24" s="1">
        <f t="shared" si="16"/>
        <v>10816</v>
      </c>
      <c r="T24" t="s">
        <v>11</v>
      </c>
      <c r="U24" s="3">
        <f t="shared" ref="U24:U25" si="23">D29</f>
        <v>9140</v>
      </c>
      <c r="V24" s="3">
        <f t="shared" ref="V24:V25" si="24">E29</f>
        <v>0</v>
      </c>
      <c r="W24" s="3">
        <f t="shared" si="22"/>
        <v>9140</v>
      </c>
      <c r="X24" s="3">
        <f t="shared" si="21"/>
        <v>18280</v>
      </c>
    </row>
    <row r="25" spans="1:25" x14ac:dyDescent="0.2">
      <c r="A25" s="7"/>
      <c r="D25" s="1"/>
      <c r="E25" s="1"/>
      <c r="F25" s="1"/>
      <c r="G25" s="1"/>
      <c r="J25" s="1"/>
      <c r="K25" s="1"/>
      <c r="L25" s="1"/>
      <c r="M25" s="1"/>
      <c r="P25" s="1"/>
      <c r="Q25" s="1"/>
      <c r="R25" s="1"/>
      <c r="T25" t="s">
        <v>3</v>
      </c>
      <c r="U25" s="3">
        <f>D31</f>
        <v>2500</v>
      </c>
      <c r="V25" s="3">
        <f>E31</f>
        <v>0</v>
      </c>
      <c r="W25" s="3">
        <f>F31</f>
        <v>2500</v>
      </c>
      <c r="X25" s="3">
        <f t="shared" si="21"/>
        <v>5000</v>
      </c>
    </row>
    <row r="26" spans="1:25" x14ac:dyDescent="0.2">
      <c r="A26" s="7"/>
      <c r="B26" t="s">
        <v>0</v>
      </c>
      <c r="D26" s="1">
        <f>D21*0.3+D22*0.3+D23*0.1+D24*0.085</f>
        <v>7468.17</v>
      </c>
      <c r="E26" s="1">
        <f>E21*0.3+E22*0.3+E23*0.1+E24*0.085</f>
        <v>9512.5</v>
      </c>
      <c r="F26" s="1">
        <f>D26+E26</f>
        <v>16980.669999999998</v>
      </c>
      <c r="G26" s="1"/>
      <c r="H26" t="s">
        <v>0</v>
      </c>
      <c r="J26" s="1">
        <f>J21*0.3+J22*0.3+J23*0.1+J24*0.085</f>
        <v>7766.8799999999992</v>
      </c>
      <c r="K26" s="1">
        <f>K21*0.3+K22*0.3+K23*0.1+K24*0.085</f>
        <v>18317</v>
      </c>
      <c r="L26" s="1">
        <f>J26+K26</f>
        <v>26083.879999999997</v>
      </c>
      <c r="M26" s="1"/>
      <c r="N26" t="s">
        <v>0</v>
      </c>
      <c r="P26" s="1">
        <f>P21*0.3+P22*0.3+P23*0.1+P24*0.085</f>
        <v>6779.64</v>
      </c>
      <c r="Q26" s="1">
        <f>Q21*0.3+Q22*0.3+Q23*0.1+Q24*0.085</f>
        <v>20347.599999999999</v>
      </c>
      <c r="R26" s="1">
        <f>P26+Q26</f>
        <v>27127.239999999998</v>
      </c>
      <c r="U26" s="3">
        <f>SUM(U21:U25)</f>
        <v>62377.07</v>
      </c>
      <c r="V26" s="3">
        <f>SUM(V21:V25)</f>
        <v>65745.833333333328</v>
      </c>
      <c r="X26" s="3">
        <f t="shared" si="21"/>
        <v>128122.90333333332</v>
      </c>
    </row>
    <row r="27" spans="1:25" x14ac:dyDescent="0.2">
      <c r="A27" s="7"/>
      <c r="D27" s="1"/>
      <c r="E27" s="1"/>
      <c r="F27" s="1"/>
      <c r="G27" s="1"/>
      <c r="J27" s="1"/>
      <c r="K27" s="1"/>
      <c r="L27" s="1"/>
      <c r="M27" s="1"/>
      <c r="P27" s="1"/>
      <c r="Q27" s="1"/>
      <c r="R27" s="1"/>
      <c r="T27" t="s">
        <v>4</v>
      </c>
      <c r="U27" s="3">
        <f>D33</f>
        <v>27417.091049999999</v>
      </c>
      <c r="V27" s="3">
        <f>E33</f>
        <v>17093.916666666664</v>
      </c>
      <c r="X27" s="3">
        <f t="shared" si="21"/>
        <v>44511.00771666666</v>
      </c>
    </row>
    <row r="28" spans="1:25" x14ac:dyDescent="0.2">
      <c r="A28" s="7"/>
      <c r="B28" t="s">
        <v>36</v>
      </c>
      <c r="C28" s="4">
        <v>10000</v>
      </c>
      <c r="D28" s="6">
        <f>C28/2</f>
        <v>5000</v>
      </c>
      <c r="E28" s="1">
        <f>300*12*'Personnel Time Distriubtion'!D14+1600*12*'Personnel Time Distriubtion'!D12+C28/3</f>
        <v>14733.333333333334</v>
      </c>
      <c r="F28" s="1">
        <f>D28+E28</f>
        <v>19733.333333333336</v>
      </c>
      <c r="G28" s="1"/>
      <c r="H28" t="s">
        <v>36</v>
      </c>
      <c r="I28" s="4">
        <v>10000</v>
      </c>
      <c r="J28" s="6">
        <f>I28/2</f>
        <v>5000</v>
      </c>
      <c r="K28" s="1">
        <f>1000*12*'Personnel Time Distriubtion'!E14+450*6*'Personnel Time Distriubtion'!E12+1600*6*'Personnel Time Distriubtion'!E12+I28/3</f>
        <v>21633.333333333332</v>
      </c>
      <c r="L28" s="1">
        <f>J28+K28</f>
        <v>26633.333333333332</v>
      </c>
      <c r="M28" s="1"/>
      <c r="N28" t="s">
        <v>36</v>
      </c>
      <c r="O28" s="4">
        <v>10000</v>
      </c>
      <c r="P28" s="6">
        <f>O28/2</f>
        <v>5000</v>
      </c>
      <c r="Q28" s="1">
        <f>1000*6*'Personnel Time Distriubtion'!F14+300*6*'Personnel Time Distriubtion'!F14+450*6*'Personnel Time Distriubtion'!F12+1600*6*'Personnel Time Distriubtion'!F12+O28/3</f>
        <v>23433.333333333332</v>
      </c>
      <c r="R28" s="1">
        <f>P28+Q28</f>
        <v>28433.333333333332</v>
      </c>
      <c r="U28" s="3">
        <f>SUM(U26:U27)</f>
        <v>89794.161049999995</v>
      </c>
      <c r="V28" s="3">
        <f>SUM(V26:V27)</f>
        <v>82839.75</v>
      </c>
      <c r="W28" s="3">
        <f>SUM(W21:W25)</f>
        <v>128122.90333333332</v>
      </c>
      <c r="X28" s="3">
        <f>SUM(U28:W28)</f>
        <v>300756.81438333332</v>
      </c>
    </row>
    <row r="29" spans="1:25" x14ac:dyDescent="0.2">
      <c r="A29" s="7"/>
      <c r="B29" t="s">
        <v>16</v>
      </c>
      <c r="C29" s="4">
        <f>3394*2+2352</f>
        <v>9140</v>
      </c>
      <c r="D29" s="1">
        <f>C29*('Personnel Time Distriubtion'!D13+'Personnel Time Distriubtion'!D14)</f>
        <v>9140</v>
      </c>
      <c r="E29" s="1"/>
      <c r="F29" s="1">
        <f t="shared" ref="F29:F31" si="25">SUM(D29:E29)</f>
        <v>9140</v>
      </c>
      <c r="G29" s="1"/>
      <c r="H29" t="s">
        <v>16</v>
      </c>
      <c r="I29" s="4">
        <f>ROUND(C29*1.04,1)</f>
        <v>9505.6</v>
      </c>
      <c r="J29" s="1">
        <f>I29*('Personnel Time Distriubtion'!E13+'Personnel Time Distriubtion'!E14)</f>
        <v>9505.6</v>
      </c>
      <c r="K29" s="1"/>
      <c r="L29" s="1">
        <f t="shared" ref="L29:L31" si="26">SUM(J29:K29)</f>
        <v>9505.6</v>
      </c>
      <c r="M29" s="1"/>
      <c r="N29" t="s">
        <v>16</v>
      </c>
      <c r="O29" s="4">
        <f>ROUND(I29*1.04,1)</f>
        <v>9885.7999999999993</v>
      </c>
      <c r="P29" s="1">
        <f>O29*('Personnel Time Distriubtion'!F13+'Personnel Time Distriubtion'!F14)</f>
        <v>9885.7999999999993</v>
      </c>
      <c r="Q29" s="1"/>
      <c r="R29" s="1">
        <f t="shared" ref="R29:R31" si="27">SUM(P29:Q29)</f>
        <v>9885.7999999999993</v>
      </c>
      <c r="U29" s="1"/>
      <c r="V29" s="1"/>
      <c r="W29" s="1"/>
    </row>
    <row r="30" spans="1:25" x14ac:dyDescent="0.2">
      <c r="A30" s="7"/>
      <c r="B30" t="s">
        <v>2</v>
      </c>
      <c r="D30" s="1"/>
      <c r="E30" s="1"/>
      <c r="F30" s="1">
        <f t="shared" si="25"/>
        <v>0</v>
      </c>
      <c r="G30" s="1"/>
      <c r="H30" t="s">
        <v>2</v>
      </c>
      <c r="J30" s="1"/>
      <c r="K30" s="1"/>
      <c r="L30" s="1">
        <f t="shared" si="26"/>
        <v>0</v>
      </c>
      <c r="M30" s="1"/>
      <c r="N30" t="s">
        <v>2</v>
      </c>
      <c r="P30" s="1"/>
      <c r="Q30" s="1"/>
      <c r="R30" s="1">
        <f t="shared" si="27"/>
        <v>0</v>
      </c>
      <c r="U30" s="1"/>
      <c r="V30" s="1"/>
      <c r="W30" s="1"/>
    </row>
    <row r="31" spans="1:25" x14ac:dyDescent="0.2">
      <c r="A31" s="7"/>
      <c r="B31" t="s">
        <v>3</v>
      </c>
      <c r="C31" s="4">
        <v>5000</v>
      </c>
      <c r="D31" s="1">
        <f>C31/2</f>
        <v>2500</v>
      </c>
      <c r="E31" s="1"/>
      <c r="F31" s="1">
        <f t="shared" si="25"/>
        <v>2500</v>
      </c>
      <c r="G31" s="1"/>
      <c r="H31" t="s">
        <v>3</v>
      </c>
      <c r="I31" s="4">
        <v>5000</v>
      </c>
      <c r="J31" s="1">
        <f>I31/2</f>
        <v>2500</v>
      </c>
      <c r="K31" s="1"/>
      <c r="L31" s="1">
        <f t="shared" si="26"/>
        <v>2500</v>
      </c>
      <c r="M31" s="1"/>
      <c r="N31" t="s">
        <v>3</v>
      </c>
      <c r="O31" s="4">
        <v>5000</v>
      </c>
      <c r="P31" s="1">
        <f>O31/2</f>
        <v>2500</v>
      </c>
      <c r="Q31" s="1"/>
      <c r="R31" s="1">
        <f t="shared" si="27"/>
        <v>2500</v>
      </c>
      <c r="U31" s="1"/>
      <c r="V31" s="1"/>
      <c r="W31" s="1"/>
    </row>
    <row r="32" spans="1:25" x14ac:dyDescent="0.2">
      <c r="A32" s="7"/>
      <c r="D32" s="1"/>
      <c r="E32" s="1"/>
      <c r="F32" s="1"/>
      <c r="G32" s="1"/>
      <c r="J32" s="1"/>
      <c r="K32" s="1"/>
      <c r="L32" s="1"/>
      <c r="M32" s="1"/>
      <c r="P32" s="1"/>
      <c r="Q32" s="1"/>
      <c r="R32" s="1"/>
      <c r="U32" s="1"/>
      <c r="V32" s="1"/>
      <c r="W32" s="1"/>
    </row>
    <row r="33" spans="1:23" x14ac:dyDescent="0.2">
      <c r="A33" s="7"/>
      <c r="B33" t="s">
        <v>4</v>
      </c>
      <c r="D33" s="1">
        <f>SUM(D21:D28,D31)*0.515</f>
        <v>27417.091049999999</v>
      </c>
      <c r="E33" s="1">
        <f>SUM(E21:E28,E31)*0.26</f>
        <v>17093.916666666664</v>
      </c>
      <c r="F33" s="1">
        <f>D33+E33</f>
        <v>44511.00771666666</v>
      </c>
      <c r="G33" s="1"/>
      <c r="H33" t="s">
        <v>4</v>
      </c>
      <c r="J33" s="1">
        <f>SUM(J21:J28,J31)*0.515</f>
        <v>28359.2372</v>
      </c>
      <c r="K33" s="1">
        <f>SUM(K21:K28,K31)*0.26</f>
        <v>28909.486666666668</v>
      </c>
      <c r="L33" s="1">
        <f>J33+K33</f>
        <v>57268.723866666667</v>
      </c>
      <c r="M33" s="1"/>
      <c r="N33" t="s">
        <v>4</v>
      </c>
      <c r="P33" s="1">
        <f>SUM(P21:P28,P31)*0.515</f>
        <v>21986.400600000001</v>
      </c>
      <c r="Q33" s="1">
        <f>SUM(Q21:Q28,Q31)*0.26</f>
        <v>34020.930666666667</v>
      </c>
      <c r="R33" s="1">
        <f>P33+Q33</f>
        <v>56007.331266666668</v>
      </c>
      <c r="U33" s="1"/>
      <c r="V33" s="1"/>
      <c r="W33" s="1"/>
    </row>
    <row r="34" spans="1:23" x14ac:dyDescent="0.2">
      <c r="A34" s="7"/>
      <c r="B34" t="s">
        <v>5</v>
      </c>
      <c r="D34" s="1">
        <f>SUM(D21:D33)</f>
        <v>89794.161049999995</v>
      </c>
      <c r="E34" s="1">
        <f t="shared" ref="E34:F34" si="28">SUM(E21:E33)</f>
        <v>82839.75</v>
      </c>
      <c r="F34" s="11">
        <f>D34+E34</f>
        <v>172633.91105</v>
      </c>
      <c r="G34" s="1"/>
      <c r="H34" t="s">
        <v>5</v>
      </c>
      <c r="J34" s="1">
        <f>SUM(J21:J33)</f>
        <v>92931.31719999999</v>
      </c>
      <c r="K34" s="1">
        <f t="shared" ref="K34:L34" si="29">SUM(K21:K33)</f>
        <v>140099.82</v>
      </c>
      <c r="L34" s="11">
        <f>J34+K34</f>
        <v>233031.1372</v>
      </c>
      <c r="M34" s="1"/>
      <c r="N34" t="s">
        <v>5</v>
      </c>
      <c r="P34" s="1">
        <f>SUM(P21:P33)</f>
        <v>74564.24059999999</v>
      </c>
      <c r="Q34" s="1">
        <f t="shared" ref="Q34:R34" si="30">SUM(Q21:Q33)</f>
        <v>164870.66399999999</v>
      </c>
      <c r="R34" s="11">
        <f>P34+Q34</f>
        <v>239434.90459999998</v>
      </c>
      <c r="U34" s="1"/>
      <c r="V34" s="1"/>
      <c r="W34" s="1"/>
    </row>
    <row r="35" spans="1:23" x14ac:dyDescent="0.2">
      <c r="A35" s="7"/>
      <c r="U35" s="1"/>
      <c r="V35" s="1"/>
      <c r="W35" s="1"/>
    </row>
    <row r="36" spans="1:23" x14ac:dyDescent="0.2">
      <c r="A36" s="7"/>
      <c r="B36" s="5" t="s">
        <v>9</v>
      </c>
      <c r="C36" s="9"/>
      <c r="D36" s="10"/>
      <c r="E36" s="5"/>
      <c r="F36" s="12">
        <f>F17+F34</f>
        <v>406008.34765000001</v>
      </c>
      <c r="G36" s="5"/>
      <c r="H36" s="5"/>
      <c r="I36" s="9"/>
      <c r="J36" s="10"/>
      <c r="K36" s="5"/>
      <c r="L36" s="12">
        <f>L17+L34</f>
        <v>482970.62884999998</v>
      </c>
      <c r="M36" s="5"/>
      <c r="N36" s="5"/>
      <c r="O36" s="9"/>
      <c r="P36" s="10"/>
      <c r="R36" s="12">
        <f>R17+R34</f>
        <v>496454.48994999996</v>
      </c>
      <c r="T36" s="3">
        <f>F36+L36+R36</f>
        <v>1385433.4664499999</v>
      </c>
    </row>
  </sheetData>
  <mergeCells count="5">
    <mergeCell ref="A3:A18"/>
    <mergeCell ref="A20:A36"/>
    <mergeCell ref="B2:F2"/>
    <mergeCell ref="H2:L2"/>
    <mergeCell ref="N2:R2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2" sqref="D12"/>
    </sheetView>
  </sheetViews>
  <sheetFormatPr baseColWidth="10" defaultRowHeight="15" x14ac:dyDescent="0.2"/>
  <cols>
    <col min="1" max="1" width="10.83203125" style="4"/>
    <col min="2" max="2" width="12" style="4" customWidth="1"/>
    <col min="3" max="3" width="15.83203125" style="4" customWidth="1"/>
    <col min="4" max="6" width="10.83203125" style="4"/>
  </cols>
  <sheetData>
    <row r="1" spans="1:6" x14ac:dyDescent="0.2">
      <c r="A1" s="4" t="s">
        <v>23</v>
      </c>
      <c r="B1" s="4" t="s">
        <v>26</v>
      </c>
      <c r="C1" s="4" t="s">
        <v>32</v>
      </c>
      <c r="D1" s="9" t="s">
        <v>19</v>
      </c>
      <c r="E1" s="9" t="s">
        <v>24</v>
      </c>
      <c r="F1" s="9" t="s">
        <v>25</v>
      </c>
    </row>
    <row r="2" spans="1:6" x14ac:dyDescent="0.2">
      <c r="A2" s="7" t="s">
        <v>30</v>
      </c>
      <c r="B2" s="4" t="s">
        <v>23</v>
      </c>
      <c r="C2" s="4" t="s">
        <v>33</v>
      </c>
      <c r="D2" s="4">
        <v>1</v>
      </c>
      <c r="E2" s="4">
        <v>1</v>
      </c>
      <c r="F2" s="4">
        <v>1</v>
      </c>
    </row>
    <row r="3" spans="1:6" x14ac:dyDescent="0.2">
      <c r="A3" s="7"/>
      <c r="B3" s="7" t="s">
        <v>27</v>
      </c>
      <c r="C3" s="4" t="s">
        <v>28</v>
      </c>
      <c r="D3" s="4">
        <v>0.5</v>
      </c>
      <c r="E3" s="4">
        <v>0</v>
      </c>
      <c r="F3" s="4">
        <v>0</v>
      </c>
    </row>
    <row r="4" spans="1:6" x14ac:dyDescent="0.2">
      <c r="A4" s="7"/>
      <c r="B4" s="7"/>
      <c r="C4" s="4" t="s">
        <v>29</v>
      </c>
      <c r="D4" s="4">
        <v>0.5</v>
      </c>
      <c r="E4" s="4">
        <v>1</v>
      </c>
      <c r="F4" s="4">
        <v>1</v>
      </c>
    </row>
    <row r="5" spans="1:6" x14ac:dyDescent="0.2">
      <c r="A5" s="7"/>
      <c r="B5" s="7" t="s">
        <v>20</v>
      </c>
      <c r="C5" s="4" t="s">
        <v>28</v>
      </c>
      <c r="D5" s="4">
        <v>0.5</v>
      </c>
      <c r="E5" s="4">
        <v>0.5</v>
      </c>
      <c r="F5" s="4">
        <v>0</v>
      </c>
    </row>
    <row r="6" spans="1:6" x14ac:dyDescent="0.2">
      <c r="A6" s="7"/>
      <c r="B6" s="7"/>
      <c r="C6" s="4" t="s">
        <v>29</v>
      </c>
      <c r="D6" s="4">
        <v>0.5</v>
      </c>
      <c r="E6" s="4">
        <v>0.5</v>
      </c>
      <c r="F6" s="4">
        <v>1</v>
      </c>
    </row>
    <row r="7" spans="1:6" x14ac:dyDescent="0.2">
      <c r="A7" s="7"/>
      <c r="B7" s="7" t="s">
        <v>21</v>
      </c>
      <c r="C7" s="4" t="s">
        <v>28</v>
      </c>
      <c r="D7" s="4">
        <v>1.5</v>
      </c>
      <c r="E7" s="4">
        <v>1.5</v>
      </c>
      <c r="F7" s="4">
        <v>1.5</v>
      </c>
    </row>
    <row r="8" spans="1:6" x14ac:dyDescent="0.2">
      <c r="A8" s="7"/>
      <c r="B8" s="7"/>
      <c r="C8" s="4" t="s">
        <v>29</v>
      </c>
      <c r="D8" s="4">
        <v>0.5</v>
      </c>
      <c r="E8" s="4">
        <v>0.5</v>
      </c>
      <c r="F8" s="4">
        <v>0.5</v>
      </c>
    </row>
    <row r="10" spans="1:6" x14ac:dyDescent="0.2">
      <c r="A10" s="7" t="s">
        <v>31</v>
      </c>
      <c r="B10" s="4" t="s">
        <v>23</v>
      </c>
      <c r="C10" s="4" t="s">
        <v>33</v>
      </c>
      <c r="D10" s="4">
        <v>1</v>
      </c>
      <c r="E10" s="4">
        <v>1</v>
      </c>
      <c r="F10" s="4">
        <v>1</v>
      </c>
    </row>
    <row r="11" spans="1:6" x14ac:dyDescent="0.2">
      <c r="A11" s="7"/>
      <c r="B11" s="7" t="s">
        <v>27</v>
      </c>
      <c r="C11" s="4" t="s">
        <v>28</v>
      </c>
      <c r="D11" s="4">
        <v>0</v>
      </c>
      <c r="E11" s="4">
        <v>0</v>
      </c>
      <c r="F11" s="4">
        <v>0</v>
      </c>
    </row>
    <row r="12" spans="1:6" x14ac:dyDescent="0.2">
      <c r="A12" s="7"/>
      <c r="B12" s="7"/>
      <c r="C12" s="4" t="s">
        <v>29</v>
      </c>
      <c r="D12" s="4">
        <v>0.5</v>
      </c>
      <c r="E12" s="4">
        <v>1</v>
      </c>
      <c r="F12" s="4">
        <v>1</v>
      </c>
    </row>
    <row r="13" spans="1:6" x14ac:dyDescent="0.2">
      <c r="A13" s="7"/>
      <c r="B13" s="7" t="s">
        <v>20</v>
      </c>
      <c r="C13" s="4" t="s">
        <v>28</v>
      </c>
      <c r="D13" s="4">
        <v>0.5</v>
      </c>
      <c r="E13" s="4">
        <v>0.5</v>
      </c>
      <c r="F13" s="4">
        <v>0</v>
      </c>
    </row>
    <row r="14" spans="1:6" x14ac:dyDescent="0.2">
      <c r="A14" s="7"/>
      <c r="B14" s="7"/>
      <c r="C14" s="4" t="s">
        <v>29</v>
      </c>
      <c r="D14" s="4">
        <v>0.5</v>
      </c>
      <c r="E14" s="4">
        <v>0.5</v>
      </c>
      <c r="F14" s="4">
        <v>1</v>
      </c>
    </row>
    <row r="15" spans="1:6" x14ac:dyDescent="0.2">
      <c r="A15" s="7"/>
      <c r="B15" s="7" t="s">
        <v>21</v>
      </c>
      <c r="C15" s="4" t="s">
        <v>28</v>
      </c>
      <c r="D15" s="4">
        <v>1.5</v>
      </c>
      <c r="E15" s="4">
        <v>1.5</v>
      </c>
      <c r="F15" s="4">
        <v>1.5</v>
      </c>
    </row>
    <row r="16" spans="1:6" x14ac:dyDescent="0.2">
      <c r="A16" s="7"/>
      <c r="B16" s="7"/>
      <c r="C16" s="4" t="s">
        <v>29</v>
      </c>
      <c r="D16" s="4">
        <v>0.5</v>
      </c>
      <c r="E16" s="4">
        <v>0.5</v>
      </c>
      <c r="F16" s="4">
        <v>0.5</v>
      </c>
    </row>
  </sheetData>
  <mergeCells count="8">
    <mergeCell ref="B3:B4"/>
    <mergeCell ref="B5:B6"/>
    <mergeCell ref="B7:B8"/>
    <mergeCell ref="A2:A8"/>
    <mergeCell ref="A10:A16"/>
    <mergeCell ref="B11:B12"/>
    <mergeCell ref="B13:B14"/>
    <mergeCell ref="B15:B16"/>
  </mergeCells>
  <phoneticPr fontId="4" type="noConversion"/>
  <printOptions gridLines="1"/>
  <pageMargins left="0.7" right="0.7" top="0.75" bottom="0.75" header="0.3" footer="0.3"/>
  <pageSetup orientation="landscape" horizontalDpi="0" verticalDpi="0"/>
  <rowBreaks count="1" manualBreakCount="1">
    <brk id="16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FY17-19</vt:lpstr>
      <vt:lpstr>Personnel Time Distriubtion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De</dc:creator>
  <cp:lastModifiedBy>Microsoft Office User</cp:lastModifiedBy>
  <cp:lastPrinted>2016-09-05T14:11:28Z</cp:lastPrinted>
  <dcterms:created xsi:type="dcterms:W3CDTF">2010-02-05T21:20:02Z</dcterms:created>
  <dcterms:modified xsi:type="dcterms:W3CDTF">2016-09-06T20:51:46Z</dcterms:modified>
</cp:coreProperties>
</file>