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E:\Self Study\Excel\"/>
    </mc:Choice>
  </mc:AlternateContent>
  <xr:revisionPtr revIDLastSave="0" documentId="13_ncr:1_{DD17148F-8728-455D-BEAD-4B06721EA4FB}" xr6:coauthVersionLast="45" xr6:coauthVersionMax="47" xr10:uidLastSave="{00000000-0000-0000-0000-000000000000}"/>
  <bookViews>
    <workbookView xWindow="-120" yWindow="-120" windowWidth="20730" windowHeight="11040" xr2:uid="{26D4546B-D2A1-4444-8EAF-A6228F96F0C1}"/>
  </bookViews>
  <sheets>
    <sheet name="DATA" sheetId="1" r:id="rId1"/>
    <sheet name="Calculations" sheetId="7" r:id="rId2"/>
    <sheet name="Assets" sheetId="4" r:id="rId3"/>
    <sheet name="Dashboard" sheetId="6" r:id="rId4"/>
  </sheets>
  <definedNames>
    <definedName name="_xlcn.WorksheetConnection_dashboardblank1.xlsxlocations" hidden="1">locations[]</definedName>
    <definedName name="_xlcn.WorksheetConnection_dashboardblank1.xlsxpeople" hidden="1">people[]</definedName>
    <definedName name="_xlcn.WorksheetConnection_dashboardblank1.xlsxproducts" hidden="1">products[]</definedName>
    <definedName name="_xlcn.WorksheetConnection_dashboardblank1.xlsxsales" hidden="1">sales[]</definedName>
    <definedName name="amount.bar.limit">Calculations!$L$97</definedName>
    <definedName name="amount.bar.limit2">Calculations!$Q$169</definedName>
    <definedName name="country.maps">Assets!$B$44:$B$49</definedName>
    <definedName name="country.names">Assets!$C$44:$C$49</definedName>
    <definedName name="graph.options">Calculations!$Q$100:$Q$103</definedName>
    <definedName name="map.1" xml:space="preserve"> INDEX(country.maps,Calculations!$AC$63)</definedName>
    <definedName name="map.2" xml:space="preserve"> INDEX(country.maps,Calculations!$AC$64)</definedName>
    <definedName name="map.3" xml:space="preserve"> INDEX(country.maps,Calculations!$AC$65)</definedName>
    <definedName name="map.4" xml:space="preserve"> INDEX(country.maps,Calculations!$AC$66)</definedName>
    <definedName name="map.5" xml:space="preserve"> INDEX(country.maps,Calculations!$AC$67)</definedName>
    <definedName name="map.6" xml:space="preserve"> INDEX(country.maps,Calculations!$AC$68)</definedName>
    <definedName name="profit.icon">Calculations!$K$6</definedName>
    <definedName name="profit.icon.status">Calculations!$K$5</definedName>
    <definedName name="profit.icon.statuses">Calculations!$K$5</definedName>
    <definedName name="selected.team">Calculations!$U$82</definedName>
    <definedName name="Slicer_Category">#N/A</definedName>
    <definedName name="sort.options.country.list">Calculations!$L$63:$L$64</definedName>
    <definedName name="sort.options.for.people.table">Calculations!$Q$115:$Q$118</definedName>
    <definedName name="sort.options.products.table">Calculations!$K$172:$K$176</definedName>
    <definedName name="starting.date.for.trend">Calculations!$K$8</definedName>
    <definedName name="team.names">_xlfn.ANCHORARRAY(Calculations!$P$115)</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7" l="1"/>
  <c r="L179" i="7"/>
  <c r="L176" i="7" s="1"/>
  <c r="AI168" i="7"/>
  <c r="AI169" i="7" s="1"/>
  <c r="U100" i="7" a="1"/>
  <c r="U100" i="7" s="1"/>
  <c r="O172" i="7" a="1"/>
  <c r="O172" i="7" s="1"/>
  <c r="N172" i="7" s="1"/>
  <c r="L175" i="7" l="1"/>
  <c r="L174" i="7"/>
  <c r="L173" i="7"/>
  <c r="W171" i="7" s="1" a="1"/>
  <c r="V14" i="6" s="1"/>
  <c r="L180" i="7"/>
  <c r="L184" i="7"/>
  <c r="L172" i="7"/>
  <c r="N183" i="7"/>
  <c r="N175" i="7"/>
  <c r="N190" i="7"/>
  <c r="N182" i="7"/>
  <c r="N174" i="7"/>
  <c r="N189" i="7"/>
  <c r="N181" i="7"/>
  <c r="N173" i="7"/>
  <c r="N188" i="7"/>
  <c r="N180" i="7"/>
  <c r="N192" i="7"/>
  <c r="N187" i="7"/>
  <c r="N191" i="7"/>
  <c r="N179" i="7"/>
  <c r="N186" i="7"/>
  <c r="N178" i="7"/>
  <c r="N193" i="7"/>
  <c r="N185" i="7"/>
  <c r="N177" i="7"/>
  <c r="Q169" i="7"/>
  <c r="N184" i="7"/>
  <c r="N176" i="7"/>
  <c r="O154" i="7"/>
  <c r="R154" i="7" s="1"/>
  <c r="O153" i="7"/>
  <c r="R153" i="7" s="1"/>
  <c r="J153" i="7"/>
  <c r="K153" i="7" s="1"/>
  <c r="J154" i="7"/>
  <c r="K154" i="7" s="1"/>
  <c r="J152" i="7"/>
  <c r="K152" i="7" s="1"/>
  <c r="Q121" i="7"/>
  <c r="Q122" i="7" s="1"/>
  <c r="Q125" i="7" s="1"/>
  <c r="U82" i="7"/>
  <c r="P115" i="7" a="1"/>
  <c r="P115" i="7" s="1"/>
  <c r="Q106" i="7"/>
  <c r="P154" i="7"/>
  <c r="P153" i="7"/>
  <c r="P152" i="7"/>
  <c r="O152" i="7"/>
  <c r="M154" i="7"/>
  <c r="M153" i="7"/>
  <c r="M152" i="7"/>
  <c r="S14" i="6" l="1"/>
  <c r="U14" i="6"/>
  <c r="T14" i="6"/>
  <c r="W171" i="7"/>
  <c r="R14" i="6" s="1"/>
  <c r="AB172" i="7" a="1"/>
  <c r="Q17" i="6" s="1"/>
  <c r="W172" i="7" a="1"/>
  <c r="W172" i="7" s="1"/>
  <c r="R15" i="6" s="1"/>
  <c r="N152" i="7"/>
  <c r="N153" i="7"/>
  <c r="N154" i="7"/>
  <c r="R152" i="7"/>
  <c r="T152" i="7" s="1"/>
  <c r="S152" i="7"/>
  <c r="S153" i="7"/>
  <c r="S154" i="7"/>
  <c r="T154" i="7" s="1"/>
  <c r="T153" i="7"/>
  <c r="S117" i="7"/>
  <c r="M22" i="6" s="1"/>
  <c r="S116" i="7"/>
  <c r="L22" i="6" s="1"/>
  <c r="S118" i="7"/>
  <c r="N22" i="6" s="1"/>
  <c r="S115" i="7"/>
  <c r="K22" i="6" s="1"/>
  <c r="K100" i="7" a="1"/>
  <c r="K100" i="7" s="1"/>
  <c r="K23" i="6" s="1" a="1"/>
  <c r="K23" i="6" s="1"/>
  <c r="Q107" i="7"/>
  <c r="K7" i="7"/>
  <c r="K8" i="7" s="1"/>
  <c r="AH171" i="7" s="1"/>
  <c r="AI171" i="7" s="1"/>
  <c r="AJ171" i="7" s="1"/>
  <c r="AK171" i="7" s="1"/>
  <c r="AL171" i="7" s="1"/>
  <c r="AM171" i="7" s="1"/>
  <c r="AN171" i="7" s="1"/>
  <c r="AO171" i="7" s="1"/>
  <c r="AP171" i="7" s="1"/>
  <c r="AQ171" i="7" s="1"/>
  <c r="AR171" i="7" s="1"/>
  <c r="AS171" i="7" s="1"/>
  <c r="AT171" i="7" s="1"/>
  <c r="AU171" i="7" s="1"/>
  <c r="AV171" i="7" s="1"/>
  <c r="AW171" i="7" s="1"/>
  <c r="AX171" i="7" s="1"/>
  <c r="AY171" i="7" s="1"/>
  <c r="AZ171" i="7" s="1"/>
  <c r="BA171" i="7" s="1"/>
  <c r="BB171" i="7" s="1"/>
  <c r="BC171" i="7" s="1"/>
  <c r="BD171" i="7" s="1"/>
  <c r="BE171" i="7" s="1"/>
  <c r="BF171" i="7" s="1"/>
  <c r="BG171" i="7" s="1"/>
  <c r="BH171" i="7" s="1"/>
  <c r="BI171" i="7" s="1"/>
  <c r="Q86" i="7"/>
  <c r="Q87" i="7"/>
  <c r="Q88" i="7"/>
  <c r="M86" i="7"/>
  <c r="U86" i="7" s="1"/>
  <c r="M87" i="7"/>
  <c r="U87" i="7" s="1"/>
  <c r="M88" i="7"/>
  <c r="U88" i="7" s="1"/>
  <c r="M85" i="7"/>
  <c r="U85" i="7" s="1"/>
  <c r="L86" i="7"/>
  <c r="R86" i="7" s="1"/>
  <c r="V86" i="7" s="1"/>
  <c r="L87" i="7"/>
  <c r="P87" i="7" s="1"/>
  <c r="L88" i="7"/>
  <c r="P88" i="7" s="1"/>
  <c r="L85" i="7"/>
  <c r="P85" i="7" s="1"/>
  <c r="Q85" i="7" s="1"/>
  <c r="K86" i="7"/>
  <c r="K87" i="7"/>
  <c r="K88" i="7"/>
  <c r="K85" i="7"/>
  <c r="L67" i="7"/>
  <c r="AF71" i="7" s="1"/>
  <c r="Q63" i="7" a="1"/>
  <c r="Q63" i="7" s="1"/>
  <c r="N63" i="7" a="1"/>
  <c r="N63" i="7" s="1"/>
  <c r="F5" i="7"/>
  <c r="H5" i="7" s="1"/>
  <c r="Y22" i="7"/>
  <c r="Y23" i="7"/>
  <c r="Y24" i="7"/>
  <c r="Y25" i="7"/>
  <c r="Y26" i="7"/>
  <c r="Y27" i="7"/>
  <c r="X23" i="7"/>
  <c r="AB23" i="7" s="1"/>
  <c r="X24" i="7"/>
  <c r="AB24" i="7" s="1"/>
  <c r="X25" i="7"/>
  <c r="AB25" i="7" s="1"/>
  <c r="X26" i="7"/>
  <c r="AB26" i="7" s="1"/>
  <c r="X27" i="7"/>
  <c r="AB27" i="7" s="1"/>
  <c r="X22" i="7"/>
  <c r="AB22" i="7" s="1"/>
  <c r="U27" i="7"/>
  <c r="R27" i="7"/>
  <c r="U26" i="7"/>
  <c r="R26" i="7"/>
  <c r="U25" i="7"/>
  <c r="R25" i="7"/>
  <c r="U24" i="7"/>
  <c r="R24" i="7"/>
  <c r="U23" i="7"/>
  <c r="R23" i="7"/>
  <c r="U22" i="7"/>
  <c r="R22" i="7"/>
  <c r="Q24" i="6" l="1"/>
  <c r="S32" i="6"/>
  <c r="V23" i="6"/>
  <c r="T27" i="6"/>
  <c r="Q27" i="6"/>
  <c r="T23" i="6"/>
  <c r="U30" i="6"/>
  <c r="R35" i="6"/>
  <c r="T21" i="6"/>
  <c r="Q19" i="6"/>
  <c r="U34" i="6"/>
  <c r="Q31" i="6"/>
  <c r="Q34" i="6"/>
  <c r="AG172" i="7" a="1"/>
  <c r="AG172" i="7" s="1"/>
  <c r="S19" i="6"/>
  <c r="U20" i="6"/>
  <c r="S31" i="6"/>
  <c r="R27" i="6"/>
  <c r="S15" i="6"/>
  <c r="V21" i="6"/>
  <c r="R17" i="6"/>
  <c r="R36" i="6"/>
  <c r="S33" i="6"/>
  <c r="R23" i="6"/>
  <c r="S28" i="6"/>
  <c r="V16" i="6"/>
  <c r="U22" i="6"/>
  <c r="Q23" i="6"/>
  <c r="U23" i="6"/>
  <c r="T24" i="6"/>
  <c r="T16" i="6"/>
  <c r="V28" i="6"/>
  <c r="S24" i="6"/>
  <c r="R21" i="6"/>
  <c r="Q21" i="6"/>
  <c r="R20" i="6"/>
  <c r="S17" i="6"/>
  <c r="R22" i="6"/>
  <c r="T32" i="6"/>
  <c r="S30" i="6"/>
  <c r="Q32" i="6"/>
  <c r="R32" i="6"/>
  <c r="U27" i="6"/>
  <c r="V17" i="6"/>
  <c r="U19" i="6"/>
  <c r="S29" i="6"/>
  <c r="T34" i="6"/>
  <c r="Q26" i="6"/>
  <c r="U16" i="6"/>
  <c r="T29" i="6"/>
  <c r="T30" i="6"/>
  <c r="V32" i="6"/>
  <c r="T20" i="6"/>
  <c r="V26" i="6"/>
  <c r="V30" i="6"/>
  <c r="Q30" i="6"/>
  <c r="Q28" i="6"/>
  <c r="Q18" i="6"/>
  <c r="V22" i="6"/>
  <c r="T25" i="6"/>
  <c r="U24" i="6"/>
  <c r="U15" i="6"/>
  <c r="R25" i="6"/>
  <c r="U17" i="6"/>
  <c r="T33" i="6"/>
  <c r="V19" i="6"/>
  <c r="S16" i="6"/>
  <c r="R33" i="6"/>
  <c r="V29" i="6"/>
  <c r="U26" i="6"/>
  <c r="R18" i="6"/>
  <c r="T35" i="6"/>
  <c r="Q25" i="6"/>
  <c r="U25" i="6"/>
  <c r="S21" i="6"/>
  <c r="T15" i="6"/>
  <c r="V27" i="6"/>
  <c r="S26" i="6"/>
  <c r="Q16" i="6"/>
  <c r="S23" i="6"/>
  <c r="S34" i="6"/>
  <c r="T31" i="6"/>
  <c r="T26" i="6"/>
  <c r="AB172" i="7"/>
  <c r="Q15" i="6" s="1"/>
  <c r="R28" i="6"/>
  <c r="V20" i="6"/>
  <c r="R30" i="6"/>
  <c r="S22" i="6"/>
  <c r="T28" i="6"/>
  <c r="U35" i="6"/>
  <c r="Q36" i="6"/>
  <c r="V35" i="6"/>
  <c r="U18" i="6"/>
  <c r="S25" i="6"/>
  <c r="S27" i="6"/>
  <c r="R29" i="6"/>
  <c r="R19" i="6"/>
  <c r="V24" i="6"/>
  <c r="Q22" i="6"/>
  <c r="Q20" i="6"/>
  <c r="Q33" i="6"/>
  <c r="T18" i="6"/>
  <c r="V36" i="6"/>
  <c r="V25" i="6"/>
  <c r="V15" i="6"/>
  <c r="R34" i="6"/>
  <c r="S35" i="6"/>
  <c r="V18" i="6"/>
  <c r="T17" i="6"/>
  <c r="U32" i="6"/>
  <c r="S20" i="6"/>
  <c r="S18" i="6"/>
  <c r="U21" i="6"/>
  <c r="R31" i="6"/>
  <c r="T22" i="6"/>
  <c r="Q29" i="6"/>
  <c r="Q35" i="6"/>
  <c r="T19" i="6"/>
  <c r="U36" i="6"/>
  <c r="V31" i="6"/>
  <c r="V33" i="6"/>
  <c r="S36" i="6"/>
  <c r="V34" i="6"/>
  <c r="T36" i="6"/>
  <c r="U29" i="6"/>
  <c r="R16" i="6"/>
  <c r="U31" i="6"/>
  <c r="R24" i="6"/>
  <c r="U33" i="6"/>
  <c r="R26" i="6"/>
  <c r="U28" i="6"/>
  <c r="U99" i="7"/>
  <c r="V99" i="7" s="1"/>
  <c r="W99" i="7" s="1"/>
  <c r="X99" i="7" s="1"/>
  <c r="Y99" i="7" s="1"/>
  <c r="Z99" i="7" s="1"/>
  <c r="AA99" i="7" s="1"/>
  <c r="AB99" i="7" s="1"/>
  <c r="AC99" i="7" s="1"/>
  <c r="AD99" i="7" s="1"/>
  <c r="AE99" i="7" s="1"/>
  <c r="AF99" i="7" s="1"/>
  <c r="AG99" i="7" s="1"/>
  <c r="AH99" i="7" s="1"/>
  <c r="AI99" i="7" s="1"/>
  <c r="AJ99" i="7" s="1"/>
  <c r="AK99" i="7" s="1"/>
  <c r="AL99" i="7" s="1"/>
  <c r="AM99" i="7" s="1"/>
  <c r="AN99" i="7" s="1"/>
  <c r="AO99" i="7" s="1"/>
  <c r="AP99" i="7" s="1"/>
  <c r="AQ99" i="7" s="1"/>
  <c r="AR99" i="7" s="1"/>
  <c r="AS99" i="7" s="1"/>
  <c r="AT99" i="7" s="1"/>
  <c r="AU99" i="7" s="1"/>
  <c r="AV99" i="7" s="1"/>
  <c r="T100" i="7" a="1"/>
  <c r="R88" i="7"/>
  <c r="V88" i="7" s="1"/>
  <c r="R85" i="7"/>
  <c r="V85" i="7" s="1"/>
  <c r="L97" i="7"/>
  <c r="P86" i="7"/>
  <c r="R87" i="7"/>
  <c r="V87" i="7" s="1"/>
  <c r="L68" i="7"/>
  <c r="W63" i="7" s="1" a="1"/>
  <c r="AG66" i="7" s="1" a="1"/>
  <c r="AG66" i="7" s="1"/>
  <c r="AC22" i="7"/>
  <c r="AC25" i="7"/>
  <c r="AC23" i="7"/>
  <c r="AC24" i="7"/>
  <c r="AC26" i="7"/>
  <c r="AC27" i="7"/>
  <c r="V22" i="7"/>
  <c r="E8" i="6" s="1"/>
  <c r="E9" i="6" s="1"/>
  <c r="V26" i="7"/>
  <c r="E28" i="6" s="1"/>
  <c r="E29" i="6" s="1"/>
  <c r="V27" i="7"/>
  <c r="E33" i="6" s="1"/>
  <c r="E34" i="6" s="1"/>
  <c r="V25" i="7"/>
  <c r="E23" i="6" s="1"/>
  <c r="E24" i="6" s="1"/>
  <c r="V24" i="7"/>
  <c r="E18" i="6" s="1"/>
  <c r="E19" i="6" s="1"/>
  <c r="V23" i="7"/>
  <c r="E13" i="6" s="1"/>
  <c r="E14" i="6" s="1"/>
  <c r="BH172" i="7" l="1" a="1"/>
  <c r="BH172" i="7" s="1"/>
  <c r="BI172" i="7" a="1"/>
  <c r="BI172" i="7" s="1"/>
  <c r="AI172" i="7" a="1"/>
  <c r="AI172" i="7" s="1"/>
  <c r="AV172" i="7" a="1"/>
  <c r="AV172" i="7" s="1"/>
  <c r="AM172" i="7" a="1"/>
  <c r="AM172" i="7" s="1"/>
  <c r="AO172" i="7" a="1"/>
  <c r="AO172" i="7" s="1"/>
  <c r="AQ172" i="7" a="1"/>
  <c r="AQ172" i="7" s="1"/>
  <c r="AS172" i="7" a="1"/>
  <c r="AS172" i="7" s="1"/>
  <c r="AU172" i="7" a="1"/>
  <c r="AU172" i="7" s="1"/>
  <c r="AH172" i="7" a="1"/>
  <c r="AH172" i="7" s="1"/>
  <c r="BE172" i="7" a="1"/>
  <c r="BE172" i="7" s="1"/>
  <c r="AL172" i="7" a="1"/>
  <c r="AL172" i="7" s="1"/>
  <c r="BB172" i="7" a="1"/>
  <c r="BB172" i="7" s="1"/>
  <c r="AW172" i="7" a="1"/>
  <c r="AW172" i="7" s="1"/>
  <c r="AP172" i="7" a="1"/>
  <c r="AP172" i="7" s="1"/>
  <c r="BC172" i="7" a="1"/>
  <c r="BC172" i="7" s="1"/>
  <c r="AT172" i="7" a="1"/>
  <c r="AT172" i="7" s="1"/>
  <c r="AN172" i="7" a="1"/>
  <c r="AN172" i="7" s="1"/>
  <c r="AK172" i="7" a="1"/>
  <c r="AK172" i="7" s="1"/>
  <c r="BF172" i="7" a="1"/>
  <c r="BF172" i="7" s="1"/>
  <c r="AX172" i="7" a="1"/>
  <c r="AX172" i="7" s="1"/>
  <c r="AJ172" i="7" a="1"/>
  <c r="AJ172" i="7" s="1"/>
  <c r="BA172" i="7" a="1"/>
  <c r="BA172" i="7" s="1"/>
  <c r="BD172" i="7" a="1"/>
  <c r="BD172" i="7" s="1"/>
  <c r="AR172" i="7" a="1"/>
  <c r="AR172" i="7" s="1"/>
  <c r="BG172" i="7" a="1"/>
  <c r="BG172" i="7" s="1"/>
  <c r="AY172" i="7" a="1"/>
  <c r="AY172" i="7" s="1"/>
  <c r="AZ172" i="7" a="1"/>
  <c r="AZ172" i="7" s="1"/>
  <c r="T100" i="7"/>
  <c r="AG67" i="7" a="1"/>
  <c r="AG67" i="7" s="1"/>
  <c r="H29" i="6" s="1"/>
  <c r="AG64" i="7" a="1"/>
  <c r="AG64" i="7" s="1"/>
  <c r="H14" i="6" s="1"/>
  <c r="AG65" i="7" a="1"/>
  <c r="AG65" i="7" s="1"/>
  <c r="H19" i="6" s="1"/>
  <c r="AG63" i="7" a="1"/>
  <c r="AG63" i="7" s="1"/>
  <c r="H10" i="6" s="1"/>
  <c r="AG68" i="7" a="1"/>
  <c r="AG68" i="7" s="1"/>
  <c r="H34" i="6" s="1"/>
  <c r="AF67" i="7" a="1"/>
  <c r="AF67" i="7" s="1"/>
  <c r="H28" i="6" s="1"/>
  <c r="AF66" i="7" a="1"/>
  <c r="AF66" i="7" s="1"/>
  <c r="H23" i="6" s="1"/>
  <c r="H24" i="6"/>
  <c r="AF68" i="7" a="1"/>
  <c r="AF68" i="7" s="1"/>
  <c r="H33" i="6" s="1"/>
  <c r="AF65" i="7" a="1"/>
  <c r="AF65" i="7" s="1"/>
  <c r="H18" i="6" s="1"/>
  <c r="AF64" i="7" a="1"/>
  <c r="AF64" i="7" s="1"/>
  <c r="H13" i="6" s="1"/>
  <c r="AF63" i="7" a="1"/>
  <c r="AF63" i="7" s="1"/>
  <c r="H9" i="6" s="1"/>
  <c r="W63" i="7"/>
  <c r="AC67" i="7"/>
  <c r="AC68" i="7"/>
  <c r="AC65" i="7"/>
  <c r="AC64" i="7"/>
  <c r="AC66" i="7"/>
  <c r="Y100" i="7" l="1" a="1"/>
  <c r="Y100" i="7" s="1"/>
  <c r="W100" i="7" a="1"/>
  <c r="W100" i="7" s="1"/>
  <c r="AA100" i="7" a="1"/>
  <c r="AA100" i="7" s="1"/>
  <c r="AB100" i="7" a="1"/>
  <c r="AB100" i="7" s="1"/>
  <c r="AD100" i="7" a="1"/>
  <c r="AD100" i="7" s="1"/>
  <c r="AH100" i="7" a="1"/>
  <c r="AH100" i="7" s="1"/>
  <c r="AE100" i="7" a="1"/>
  <c r="AE100" i="7" s="1"/>
  <c r="AS100" i="7" a="1"/>
  <c r="AS100" i="7" s="1"/>
  <c r="AM100" i="7" a="1"/>
  <c r="AM100" i="7" s="1"/>
  <c r="AJ100" i="7" a="1"/>
  <c r="AJ100" i="7" s="1"/>
  <c r="AL100" i="7" a="1"/>
  <c r="AL100" i="7" s="1"/>
  <c r="AP100" i="7" a="1"/>
  <c r="AP100" i="7" s="1"/>
  <c r="AR100" i="7" a="1"/>
  <c r="AR100" i="7" s="1"/>
  <c r="AT100" i="7" a="1"/>
  <c r="AT100" i="7" s="1"/>
  <c r="Z100" i="7" a="1"/>
  <c r="Z100" i="7" s="1"/>
  <c r="X100" i="7" a="1"/>
  <c r="X100" i="7" s="1"/>
  <c r="V100" i="7" a="1"/>
  <c r="V100" i="7" s="1"/>
  <c r="AC100" i="7" a="1"/>
  <c r="AC100" i="7" s="1"/>
  <c r="AV100" i="7" a="1"/>
  <c r="AV100" i="7" s="1"/>
  <c r="AU100" i="7" a="1"/>
  <c r="AU100" i="7" s="1"/>
  <c r="AO100" i="7" a="1"/>
  <c r="AO100" i="7" s="1"/>
  <c r="AF100" i="7" a="1"/>
  <c r="AF100" i="7" s="1"/>
  <c r="AN100" i="7" a="1"/>
  <c r="AN100" i="7" s="1"/>
  <c r="AI100" i="7" a="1"/>
  <c r="AI100" i="7" s="1"/>
  <c r="AK100" i="7" a="1"/>
  <c r="AK100" i="7" s="1"/>
  <c r="AG100" i="7" a="1"/>
  <c r="AG100" i="7" s="1"/>
  <c r="AQ100" i="7" a="1"/>
  <c r="AQ100" i="7" s="1"/>
  <c r="AC63" i="7"/>
  <c r="AE63" i="7" a="1"/>
  <c r="AE63" i="7" l="1"/>
  <c r="H8" i="6" s="1"/>
  <c r="H12" i="6"/>
  <c r="H22" i="6"/>
  <c r="H27" i="6"/>
  <c r="H17" i="6"/>
  <c r="H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38AC89-3CB9-4527-806E-F7AD94AE514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EE63BE8-3325-46A3-9104-4F3E9C1B004C}"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
        </x15:connection>
      </ext>
    </extLst>
  </connection>
  <connection id="3" xr16:uid="{4DF6A579-D2CC-4481-BDF0-9245E462980C}"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
        </x15:connection>
      </ext>
    </extLst>
  </connection>
  <connection id="4" xr16:uid="{C77F55E8-4558-48D5-B775-5AE93137AE97}"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
        </x15:connection>
      </ext>
    </extLst>
  </connection>
  <connection id="5" xr16:uid="{41059C29-ADF8-4F75-92BC-EDD499F7FEDE}"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<sst xmlns="http://schemas.openxmlformats.org/spreadsheetml/2006/main" count="11876" uniqueCount="200">
  <si>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</si>
  <si>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</si>
  <si>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</si>
  <si>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</si>
  <si>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</si>
  <si>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</si>
  <si>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</si>
  <si>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</si>
  <si>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</si>
  <si>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</si>
  <si>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</si>
  <si>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</si>
  <si>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</si>
  <si>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</si>
  <si>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</si>
  <si>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</si>
  <si>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</si>
  <si>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</si>
  <si>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</si>
  <si>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</si>
  <si>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</si>
  <si>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</si>
  <si>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</si>
  <si>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</si>
  <si>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</si>
  <si>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</si>
  <si>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</si>
  <si>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</si>
  <si>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</si>
  <si>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</si>
  <si>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</si>
  <si>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</si>
  <si>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</si>
  <si>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</si>
  <si>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</si>
  <si>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</si>
  <si>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</si>
  <si>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</si>
  <si>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</si>
  <si>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</si>
  <si>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</si>
  <si>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</si>
  <si>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</si>
  <si>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</si>
  <si>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</si>
  <si>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</si>
  <si>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</si>
  <si>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</si>
  <si>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</si>
  <si>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</si>
  <si>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</si>
  <si>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</si>
  <si>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</si>
  <si>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</si>
  <si>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</si>
  <si>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</si>
  <si>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</si>
  <si>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</si>
  <si>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</si>
  <si>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</si>
  <si>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</si>
  <si>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</si>
  <si>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</si>
  <si>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</si>
  <si>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</si>
  <si>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</si>
  <si>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</si>
  <si>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</si>
  <si>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</si>
  <si>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</si>
  <si>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</si>
  <si>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</si>
  <si>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</si>
  <si>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</si>
  <si>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</si>
  <si>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</si>
  <si>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</si>
  <si>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</si>
  <si>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</si>
  <si>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</si>
  <si>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</si>
  <si>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</si>
  <si>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</si>
  <si>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</si>
  <si>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</si>
  <si>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</si>
  <si>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</si>
  <si>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</si>
  <si>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</si>
  <si>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</si>
  <si>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</si>
  <si>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</si>
  <si>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</si>
  <si>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</si>
  <si>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</si>
  <si>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</si>
  <si>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</si>
  <si>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</si>
  <si>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</si>
  <si>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</si>
  <si>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</si>
  <si>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</si>
  <si>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Calulations Work Sheet</t>
  </si>
  <si>
    <t>Sum of Amount</t>
  </si>
  <si>
    <t>Sum of Boxes</t>
  </si>
  <si>
    <t>Values</t>
  </si>
  <si>
    <t>Total Shipments</t>
  </si>
  <si>
    <t>Total Cost</t>
  </si>
  <si>
    <t>Total Profit</t>
  </si>
  <si>
    <t>Profit Percentage</t>
  </si>
  <si>
    <t>2021</t>
  </si>
  <si>
    <t>2022</t>
  </si>
  <si>
    <t>Jan</t>
  </si>
  <si>
    <t>Feb</t>
  </si>
  <si>
    <t>Mar</t>
  </si>
  <si>
    <t>Apr</t>
  </si>
  <si>
    <t>May</t>
  </si>
  <si>
    <t>Jun</t>
  </si>
  <si>
    <t>Jul</t>
  </si>
  <si>
    <t>Aug</t>
  </si>
  <si>
    <t>Sep</t>
  </si>
  <si>
    <t>Oct</t>
  </si>
  <si>
    <t>Nov</t>
  </si>
  <si>
    <t>Dec</t>
  </si>
  <si>
    <t>Date (Year)</t>
  </si>
  <si>
    <t>Date (Month)</t>
  </si>
  <si>
    <t>Summary for Dashboard</t>
  </si>
  <si>
    <t>KPI</t>
  </si>
  <si>
    <t>This month</t>
  </si>
  <si>
    <t>Previous month</t>
  </si>
  <si>
    <t>Total Amount</t>
  </si>
  <si>
    <t>Shipments</t>
  </si>
  <si>
    <t>Profit %</t>
  </si>
  <si>
    <t>MoM%</t>
  </si>
  <si>
    <t>Overall</t>
  </si>
  <si>
    <t>Selected</t>
  </si>
  <si>
    <t>Display</t>
  </si>
  <si>
    <t>Format Code</t>
  </si>
  <si>
    <t>$#,,.00 "m"</t>
  </si>
  <si>
    <t>#,#,.0 "k"</t>
  </si>
  <si>
    <t>#,##</t>
  </si>
  <si>
    <t>Category Selected</t>
  </si>
  <si>
    <t>MAPS</t>
  </si>
  <si>
    <t>Row Labels</t>
  </si>
  <si>
    <t>Sort Options</t>
  </si>
  <si>
    <t>Sales</t>
  </si>
  <si>
    <t>Selected Options</t>
  </si>
  <si>
    <t>Pivot Values</t>
  </si>
  <si>
    <t>Selected Values</t>
  </si>
  <si>
    <t>Sorted List</t>
  </si>
  <si>
    <t>Map ID #</t>
  </si>
  <si>
    <t>For Dashboard Area</t>
  </si>
  <si>
    <t>Value</t>
  </si>
  <si>
    <t>Value Selected</t>
  </si>
  <si>
    <t>0.0%</t>
  </si>
  <si>
    <t>TEXT(IF($L$68=1,$V$63,$W$63),INDEX($M$63:$M$64,$L$68))</t>
  </si>
  <si>
    <t>Title</t>
  </si>
  <si>
    <t>Sort by</t>
  </si>
  <si>
    <t>PEOPLE</t>
  </si>
  <si>
    <t xml:space="preserve">Team </t>
  </si>
  <si>
    <t>Profit</t>
  </si>
  <si>
    <t>X</t>
  </si>
  <si>
    <t>Y</t>
  </si>
  <si>
    <t>⭐</t>
  </si>
  <si>
    <t>Selected Team</t>
  </si>
  <si>
    <t xml:space="preserve">Size 2 </t>
  </si>
  <si>
    <t>Sales (Formatted)</t>
  </si>
  <si>
    <t>Profit(Formatted)</t>
  </si>
  <si>
    <t>FILTERED DATA</t>
  </si>
  <si>
    <t>Pofit</t>
  </si>
  <si>
    <t>Max Amount</t>
  </si>
  <si>
    <t>Profit Icons</t>
  </si>
  <si>
    <t>Latest Sales Date</t>
  </si>
  <si>
    <t>28 Days Ago</t>
  </si>
  <si>
    <t>Trend Options</t>
  </si>
  <si>
    <t>Shipped?</t>
  </si>
  <si>
    <t>Person</t>
  </si>
  <si>
    <t>Sort Order</t>
  </si>
  <si>
    <t>Team Names</t>
  </si>
  <si>
    <t>Pick a team</t>
  </si>
  <si>
    <t>⬇️</t>
  </si>
  <si>
    <t>Table Headers</t>
  </si>
  <si>
    <t>Is on slicer?</t>
  </si>
  <si>
    <t>⏺️</t>
  </si>
  <si>
    <t>Blank</t>
  </si>
  <si>
    <t>Cost %</t>
  </si>
  <si>
    <t>For Display</t>
  </si>
  <si>
    <t>$#,,.00</t>
  </si>
  <si>
    <t>Dis-lay Label</t>
  </si>
  <si>
    <t>Sorty by</t>
  </si>
  <si>
    <t>Sort order</t>
  </si>
  <si>
    <t>On</t>
  </si>
  <si>
    <t>Sort by column #</t>
  </si>
  <si>
    <t>Data from Pivot</t>
  </si>
  <si>
    <t>Is CAT on Slicer?</t>
  </si>
  <si>
    <t>Sorted DATA</t>
  </si>
  <si>
    <r>
      <t xml:space="preserve">Is </t>
    </r>
    <r>
      <rPr>
        <b/>
        <sz val="11"/>
        <color theme="1"/>
        <rFont val="Arial"/>
        <family val="2"/>
        <scheme val="minor"/>
      </rPr>
      <t>CAT</t>
    </r>
    <r>
      <rPr>
        <sz val="11"/>
        <color theme="1"/>
        <rFont val="Arial"/>
        <family val="2"/>
        <scheme val="minor"/>
      </rPr>
      <t xml:space="preserve"> on Slicer?</t>
    </r>
  </si>
  <si>
    <t>In last 28 Days</t>
  </si>
  <si>
    <t>Selected Trend</t>
  </si>
  <si>
    <t>Profit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</si>
</sst>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6" formatCode="&quot;$&quot;#,##0_);[Red]\(&quot;$&quot;#,##0\)"/>
    <numFmt numFmtId="8" formatCode="&quot;$&quot;#,##0.00_);[Red]\(&quot;$&quot;#,##0.00\)"/>
    <numFmt numFmtId="44" formatCode="_(&quot;$&quot;* #,##0.00_);_(&quot;$&quot;* \(#,##0.00\);_(&quot;$&quot;* &quot;-&quot;??_);_(@_)"/>
    <numFmt numFmtId="43" formatCode="_(* #,##0.00_);_(* \(#,##0.00\);_(* &quot;-&quot;??_);_(@_)"/>
    <numFmt numFmtId="164" formatCode="\$#,##0;\(\$#,##0\);\$#,##0"/>
    <numFmt numFmtId="165" formatCode="0.0%;\-0.0%;0.0%"/>
    <numFmt numFmtId="166" formatCode="0.0%"/>
    <numFmt numFmtId="167" formatCode="_(&quot;$&quot;* #,##0_);_(&quot;$&quot;* \(#,##0\);_(&quot;$&quot;* &quot;-&quot;??_);_(@_)"/>
    <numFmt numFmtId="168" formatCode="[$-409]dd\-mmm\-yy;@"/>
    <numFmt numFmtId="169" formatCode="&quot;$&quot;#,##0.00"/>
    <numFmt numFmtId="170" formatCode="&quot;$&quot;#,##0"/>
    <numFmt numFmtId="171" formatCode="_(* #,##0_);_(* \(#,##0\);_(* &quot;-&quot;??_);_(@_)"/>
    <numFmt numFmtId="172" formatCode=";;;"/>
  </numFmts>
  <fonts count="16"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5"/>
      <name val="Arial"/>
      <family val="2"/>
      <scheme val="minor"/>
    </font>
    <font>
      <sz val="11"/>
      <color theme="0" tint="-0.34998626667073579"/>
      <name val="Arial"/>
      <family val="2"/>
      <scheme val="minor"/>
    </font>
    <font>
      <sz val="11"/>
      <color rgb="FF00B0F0"/>
      <name val="Barlow Condensed ExtraBold"/>
      <scheme val="major"/>
    </font>
    <font>
      <sz val="11"/>
      <color rgb="FF00B0F0"/>
      <name val="Arial"/>
      <family val="2"/>
      <scheme val="minor"/>
    </font>
    <font>
      <sz val="11"/>
      <color theme="5" tint="0.39997558519241921"/>
      <name val="Arial"/>
      <family val="2"/>
      <scheme val="minor"/>
    </font>
    <font>
      <sz val="11"/>
      <color theme="0" tint="-0.499984740745262"/>
      <name val="Arial"/>
      <family val="2"/>
      <scheme val="minor"/>
    </font>
    <font>
      <sz val="11"/>
      <color theme="2" tint="-0.249977111117893"/>
      <name val="Arial"/>
      <family val="2"/>
      <scheme val="minor"/>
    </font>
    <font>
      <sz val="11"/>
      <color rgb="FFFFC000"/>
      <name val="Barlow Condensed ExtraBold"/>
      <scheme val="major"/>
    </font>
    <font>
      <sz val="11"/>
      <color theme="2" tint="-0.499984740745262"/>
      <name val="Abadi"/>
      <family val="2"/>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0.249977111117893"/>
        <bgColor indexed="64"/>
      </patternFill>
    </fill>
    <fill>
      <patternFill patternType="solid">
        <fgColor rgb="FFFFFF00"/>
        <bgColor indexed="64"/>
      </patternFill>
    </fill>
    <fill>
      <patternFill patternType="solid">
        <fgColor theme="1" tint="4.9989318521683403E-2"/>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9" fontId="6" fillId="0" borderId="0" applyFont="0" applyFill="0" applyBorder="0" applyAlignment="0" applyProtection="0"/>
    <xf numFmtId="44" fontId="6" fillId="0" borderId="0" applyFont="0" applyFill="0" applyBorder="0" applyAlignment="0" applyProtection="0"/>
    <xf numFmtId="43" fontId="6" fillId="0" borderId="0" applyFont="0" applyFill="0" applyBorder="0" applyAlignment="0" applyProtection="0"/>
  </cellStyleXfs>
  <cellXfs count="55">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1" fillId="6" borderId="0" xfId="0" applyFont="1"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9" fontId="0" fillId="0" borderId="0" xfId="1" applyFont="1"/>
    <xf numFmtId="166" fontId="0" fillId="0" borderId="0" xfId="1" applyNumberFormat="1" applyFont="1"/>
    <xf numFmtId="166" fontId="0" fillId="0" borderId="0" xfId="0" applyNumberFormat="1"/>
    <xf numFmtId="9" fontId="0" fillId="0" borderId="0" xfId="0" applyNumberFormat="1"/>
    <xf numFmtId="9" fontId="7" fillId="4" borderId="0" xfId="0" applyNumberFormat="1" applyFont="1" applyFill="1" applyAlignment="1">
      <alignment horizontal="center"/>
    </xf>
    <xf numFmtId="0" fontId="7" fillId="4" borderId="0" xfId="0" applyFont="1" applyFill="1"/>
    <xf numFmtId="9" fontId="8" fillId="4" borderId="0" xfId="0" applyNumberFormat="1" applyFont="1" applyFill="1" applyAlignment="1">
      <alignment horizontal="center"/>
    </xf>
    <xf numFmtId="49" fontId="0" fillId="0" borderId="0" xfId="0" applyNumberFormat="1"/>
    <xf numFmtId="0" fontId="9" fillId="4" borderId="0" xfId="0" applyFont="1" applyFill="1"/>
    <xf numFmtId="0" fontId="10" fillId="4" borderId="0" xfId="0" applyFont="1" applyFill="1"/>
    <xf numFmtId="0" fontId="11" fillId="4" borderId="0" xfId="0" applyFont="1" applyFill="1"/>
    <xf numFmtId="0" fontId="12" fillId="4" borderId="0" xfId="0" applyFont="1" applyFill="1"/>
    <xf numFmtId="0" fontId="13" fillId="11" borderId="0" xfId="0" applyFont="1" applyFill="1" applyAlignment="1">
      <alignment vertical="center"/>
    </xf>
    <xf numFmtId="0" fontId="0" fillId="12" borderId="0" xfId="0" applyFill="1"/>
    <xf numFmtId="0" fontId="15" fillId="4" borderId="0" xfId="0" applyFont="1" applyFill="1"/>
    <xf numFmtId="9" fontId="15" fillId="4" borderId="0" xfId="1" applyFont="1" applyFill="1"/>
    <xf numFmtId="167" fontId="15" fillId="4" borderId="0" xfId="2" applyNumberFormat="1" applyFont="1" applyFill="1"/>
    <xf numFmtId="49" fontId="0" fillId="12" borderId="0" xfId="0" applyNumberFormat="1" applyFill="1"/>
    <xf numFmtId="168" fontId="0" fillId="0" borderId="0" xfId="0" applyNumberFormat="1"/>
    <xf numFmtId="0" fontId="13" fillId="11" borderId="0" xfId="0" applyFont="1" applyFill="1" applyAlignment="1">
      <alignment horizontal="center" vertical="center"/>
    </xf>
    <xf numFmtId="170" fontId="0" fillId="0" borderId="0" xfId="0" applyNumberFormat="1"/>
    <xf numFmtId="0" fontId="0" fillId="0" borderId="0" xfId="0" applyNumberFormat="1"/>
    <xf numFmtId="1" fontId="0" fillId="0" borderId="0" xfId="0" applyNumberFormat="1"/>
    <xf numFmtId="170" fontId="15" fillId="4" borderId="0" xfId="2" applyNumberFormat="1" applyFont="1" applyFill="1"/>
    <xf numFmtId="171" fontId="15" fillId="4" borderId="0" xfId="3" applyNumberFormat="1" applyFont="1" applyFill="1"/>
    <xf numFmtId="172" fontId="0" fillId="4" borderId="0" xfId="0" applyNumberFormat="1" applyFill="1"/>
    <xf numFmtId="0" fontId="14" fillId="4" borderId="1" xfId="0" applyFont="1" applyFill="1" applyBorder="1"/>
    <xf numFmtId="0" fontId="14" fillId="13" borderId="1" xfId="0" applyFont="1" applyFill="1" applyBorder="1"/>
    <xf numFmtId="172" fontId="0" fillId="14" borderId="0" xfId="0" applyNumberFormat="1" applyFill="1"/>
    <xf numFmtId="0" fontId="0" fillId="0" borderId="0" xfId="0" applyFill="1"/>
  </cellXfs>
  <cellStyles count="4">
    <cellStyle name="Comma" xfId="3" builtinId="3"/>
    <cellStyle name="Currency" xfId="2" builtinId="4"/>
    <cellStyle name="Normal" xfId="0" builtinId="0"/>
    <cellStyle name="Percent" xfId="1" builtinId="5"/>
  </cellStyles>
  <dxfs count="19">
    <dxf>
      <font>
        <color theme="5"/>
      </font>
    </dxf>
    <dxf>
      <fill>
        <patternFill>
          <bgColor theme="1" tint="0.24994659260841701"/>
        </patternFill>
      </fill>
    </dxf>
    <dxf>
      <fill>
        <patternFill>
          <bgColor theme="7"/>
        </patternFill>
      </fill>
    </dxf>
    <dxf>
      <fill>
        <patternFill>
          <bgColor theme="1" tint="0.24994659260841701"/>
        </patternFill>
      </fill>
    </dxf>
    <dxf>
      <fill>
        <patternFill>
          <bgColor rgb="FF00B0F0"/>
        </patternFill>
      </fill>
    </dxf>
    <dxf>
      <numFmt numFmtId="170" formatCode="&quot;$&quot;#,##0"/>
    </dxf>
    <dxf>
      <numFmt numFmtId="170" formatCode="&quot;$&quot;#,##0"/>
    </dxf>
    <dxf>
      <numFmt numFmtId="170" formatCode="&quot;$&quot;#,##0"/>
    </dxf>
    <dxf>
      <numFmt numFmtId="170" formatCode="&quot;$&quot;#,##0"/>
    </dxf>
    <dxf>
      <numFmt numFmtId="164" formatCode="\$#,##0;\(\$#,##0\);\$#,##0"/>
    </dxf>
    <dxf>
      <numFmt numFmtId="164" formatCode="\$#,##0;\(\$#,##0\);\$#,##0"/>
    </dxf>
    <dxf>
      <numFmt numFmtId="164" formatCode="\$#,##0;\(\$#,##0\);\$#,##0"/>
    </dxf>
    <dxf>
      <numFmt numFmtId="12" formatCode="&quot;$&quot;#,##0.00_);[Red]\(&quot;$&quot;#,##0.00\)"/>
    </dxf>
    <dxf>
      <numFmt numFmtId="12" formatCode="&quot;$&quot;#,##0.00_);[Red]\(&quot;$&quot;#,##0.00\)"/>
    </dxf>
    <dxf>
      <numFmt numFmtId="3" formatCode="#,##0"/>
    </dxf>
    <dxf>
      <numFmt numFmtId="10" formatCode="&quot;$&quot;#,##0_);[Red]\(&quot;$&quot;#,##0\)"/>
    </dxf>
    <dxf>
      <numFmt numFmtId="19" formatCode="m/d/yyyy"/>
    </dxf>
    <dxf>
      <font>
        <b/>
        <color theme="1"/>
      </font>
      <border>
        <bottom style="thin">
          <color theme="7"/>
        </bottom>
        <vertical/>
        <horizontal/>
      </border>
    </dxf>
    <dxf>
      <font>
        <b val="0"/>
        <i val="0"/>
        <color theme="1"/>
        <name val="Bahnschrift SemiBold"/>
        <family val="2"/>
        <scheme val="none"/>
      </font>
      <fill>
        <patternFill>
          <bgColor theme="1"/>
        </patternFill>
      </fill>
      <border diagonalUp="0" diagonalDown="0">
        <left/>
        <right/>
        <top/>
        <bottom/>
        <vertical/>
        <horizontal/>
      </border>
    </dxf>
  </dxfs>
  <tableStyles count="1" defaultTableStyle="TableStyleMedium2" defaultPivotStyle="PivotStyleLight16">
    <tableStyle name="Slicer for DB" pivot="0" table="0" count="10" xr9:uid="{F8FBB976-DE62-4326-B918-994A98EB401A}">
      <tableStyleElement type="wholeTable" dxfId="18"/>
      <tableStyleElement type="headerRow" dxfId="1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Calculations!$K$152</c:f>
              <c:strCache>
                <c:ptCount val="1"/>
                <c:pt idx="0">
                  <c:v>Bars⏺️</c:v>
                </c:pt>
              </c:strCache>
            </c:strRef>
          </c:tx>
          <c:dPt>
            <c:idx val="0"/>
            <c:bubble3D val="0"/>
            <c:spPr>
              <a:noFill/>
              <a:ln w="19050">
                <a:noFill/>
              </a:ln>
              <a:effectLst/>
            </c:spPr>
            <c:extLst>
              <c:ext xmlns:c16="http://schemas.microsoft.com/office/drawing/2014/chart" uri="{C3380CC4-5D6E-409C-BE32-E72D297353CC}">
                <c16:uniqueId val="{00000002-1E05-4C6E-A506-F7035B7B188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1E05-4C6E-A506-F7035B7B1882}"/>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4-1E05-4C6E-A506-F7035B7B1882}"/>
              </c:ext>
            </c:extLst>
          </c:dPt>
          <c:cat>
            <c:strRef>
              <c:f>Calculations!$L$151:$N$151</c:f>
              <c:strCache>
                <c:ptCount val="3"/>
                <c:pt idx="0">
                  <c:v>Blank</c:v>
                </c:pt>
                <c:pt idx="1">
                  <c:v>Profit %</c:v>
                </c:pt>
                <c:pt idx="2">
                  <c:v>Cost %</c:v>
                </c:pt>
              </c:strCache>
            </c:strRef>
          </c:cat>
          <c:val>
            <c:numRef>
              <c:f>Calculations!$L$152:$N$152</c:f>
              <c:numCache>
                <c:formatCode>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0-1E05-4C6E-A506-F7035B7B188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Calculations!$K$153</c:f>
              <c:strCache>
                <c:ptCount val="1"/>
                <c:pt idx="0">
                  <c:v>Bites</c:v>
                </c:pt>
              </c:strCache>
            </c:strRef>
          </c:tx>
          <c:dPt>
            <c:idx val="0"/>
            <c:bubble3D val="0"/>
            <c:spPr>
              <a:noFill/>
              <a:ln w="19050">
                <a:noFill/>
              </a:ln>
              <a:effectLst/>
            </c:spPr>
            <c:extLst>
              <c:ext xmlns:c16="http://schemas.microsoft.com/office/drawing/2014/chart" uri="{C3380CC4-5D6E-409C-BE32-E72D297353CC}">
                <c16:uniqueId val="{00000001-A52C-406D-81DE-E8A4774BC0CA}"/>
              </c:ext>
            </c:extLst>
          </c:dPt>
          <c:dPt>
            <c:idx val="1"/>
            <c:bubble3D val="0"/>
            <c:spPr>
              <a:solidFill>
                <a:srgbClr val="00B050"/>
              </a:solidFill>
              <a:ln w="19050">
                <a:noFill/>
              </a:ln>
              <a:effectLst/>
            </c:spPr>
            <c:extLst>
              <c:ext xmlns:c16="http://schemas.microsoft.com/office/drawing/2014/chart" uri="{C3380CC4-5D6E-409C-BE32-E72D297353CC}">
                <c16:uniqueId val="{00000003-A52C-406D-81DE-E8A4774BC0CA}"/>
              </c:ext>
            </c:extLst>
          </c:dPt>
          <c:dPt>
            <c:idx val="2"/>
            <c:bubble3D val="0"/>
            <c:spPr>
              <a:solidFill>
                <a:schemeClr val="bg1">
                  <a:lumMod val="50000"/>
                </a:schemeClr>
              </a:solidFill>
              <a:ln w="19050">
                <a:noFill/>
              </a:ln>
              <a:effectLst/>
            </c:spPr>
            <c:extLst>
              <c:ext xmlns:c16="http://schemas.microsoft.com/office/drawing/2014/chart" uri="{C3380CC4-5D6E-409C-BE32-E72D297353CC}">
                <c16:uniqueId val="{00000005-A52C-406D-81DE-E8A4774BC0CA}"/>
              </c:ext>
            </c:extLst>
          </c:dPt>
          <c:cat>
            <c:strRef>
              <c:f>Calculations!$L$151:$N$151</c:f>
              <c:strCache>
                <c:ptCount val="3"/>
                <c:pt idx="0">
                  <c:v>Blank</c:v>
                </c:pt>
                <c:pt idx="1">
                  <c:v>Profit %</c:v>
                </c:pt>
                <c:pt idx="2">
                  <c:v>Cost %</c:v>
                </c:pt>
              </c:strCache>
            </c:strRef>
          </c:cat>
          <c:val>
            <c:numRef>
              <c:f>Calculations!$L$153:$N$153</c:f>
              <c:numCache>
                <c:formatCode>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A52C-406D-81DE-E8A4774BC0CA}"/>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Calculations!$K$154</c:f>
              <c:strCache>
                <c:ptCount val="1"/>
                <c:pt idx="0">
                  <c:v>Other</c:v>
                </c:pt>
              </c:strCache>
            </c:strRef>
          </c:tx>
          <c:dPt>
            <c:idx val="0"/>
            <c:bubble3D val="0"/>
            <c:spPr>
              <a:noFill/>
              <a:ln w="19050">
                <a:noFill/>
              </a:ln>
              <a:effectLst/>
            </c:spPr>
            <c:extLst>
              <c:ext xmlns:c16="http://schemas.microsoft.com/office/drawing/2014/chart" uri="{C3380CC4-5D6E-409C-BE32-E72D297353CC}">
                <c16:uniqueId val="{00000001-3C53-417B-BBC3-5604843C37A1}"/>
              </c:ext>
            </c:extLst>
          </c:dPt>
          <c:dPt>
            <c:idx val="1"/>
            <c:bubble3D val="0"/>
            <c:spPr>
              <a:solidFill>
                <a:srgbClr val="00B050"/>
              </a:solidFill>
              <a:ln w="19050">
                <a:noFill/>
              </a:ln>
              <a:effectLst/>
            </c:spPr>
            <c:extLst>
              <c:ext xmlns:c16="http://schemas.microsoft.com/office/drawing/2014/chart" uri="{C3380CC4-5D6E-409C-BE32-E72D297353CC}">
                <c16:uniqueId val="{00000003-3C53-417B-BBC3-5604843C37A1}"/>
              </c:ext>
            </c:extLst>
          </c:dPt>
          <c:dPt>
            <c:idx val="2"/>
            <c:bubble3D val="0"/>
            <c:spPr>
              <a:solidFill>
                <a:schemeClr val="bg1">
                  <a:lumMod val="50000"/>
                </a:schemeClr>
              </a:solidFill>
              <a:ln w="19050">
                <a:noFill/>
              </a:ln>
              <a:effectLst/>
            </c:spPr>
            <c:extLst>
              <c:ext xmlns:c16="http://schemas.microsoft.com/office/drawing/2014/chart" uri="{C3380CC4-5D6E-409C-BE32-E72D297353CC}">
                <c16:uniqueId val="{00000005-3C53-417B-BBC3-5604843C37A1}"/>
              </c:ext>
            </c:extLst>
          </c:dPt>
          <c:cat>
            <c:strRef>
              <c:f>Calculations!$L$151:$N$151</c:f>
              <c:strCache>
                <c:ptCount val="3"/>
                <c:pt idx="0">
                  <c:v>Blank</c:v>
                </c:pt>
                <c:pt idx="1">
                  <c:v>Profit %</c:v>
                </c:pt>
                <c:pt idx="2">
                  <c:v>Cost %</c:v>
                </c:pt>
              </c:strCache>
            </c:strRef>
          </c:cat>
          <c:val>
            <c:numRef>
              <c:f>Calculations!$L$154:$N$154</c:f>
              <c:numCache>
                <c:formatCode>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3C53-417B-BBC3-5604843C37A1}"/>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bg1">
                    <a:lumMod val="95000"/>
                    <a:shade val="30000"/>
                    <a:satMod val="115000"/>
                  </a:schemeClr>
                </a:gs>
                <a:gs pos="50000">
                  <a:schemeClr val="bg1">
                    <a:lumMod val="95000"/>
                    <a:shade val="67500"/>
                    <a:satMod val="115000"/>
                  </a:schemeClr>
                </a:gs>
                <a:gs pos="100000">
                  <a:schemeClr val="bg1">
                    <a:lumMod val="95000"/>
                    <a:shade val="100000"/>
                    <a:satMod val="115000"/>
                  </a:schemeClr>
                </a:gs>
              </a:gsLst>
              <a:lin ang="16200000" scaled="1"/>
              <a:tileRect/>
            </a:gradFill>
            <a:ln>
              <a:noFill/>
            </a:ln>
            <a:effectLst/>
          </c:spPr>
          <c:invertIfNegative val="0"/>
          <c:dLbls>
            <c:dLbl>
              <c:idx val="0"/>
              <c:tx>
                <c:rich>
                  <a:bodyPr/>
                  <a:lstStyle/>
                  <a:p>
                    <a:fld id="{0FF9D0C1-4302-40B8-BC2C-6172D0C7A6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28C1-4439-B786-29F8591BF4CB}"/>
                </c:ext>
              </c:extLst>
            </c:dLbl>
            <c:dLbl>
              <c:idx val="1"/>
              <c:tx>
                <c:rich>
                  <a:bodyPr/>
                  <a:lstStyle/>
                  <a:p>
                    <a:fld id="{197265C4-512F-4E0D-8E0A-0D403FE65E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8C1-4439-B786-29F8591BF4CB}"/>
                </c:ext>
              </c:extLst>
            </c:dLbl>
            <c:dLbl>
              <c:idx val="2"/>
              <c:tx>
                <c:rich>
                  <a:bodyPr/>
                  <a:lstStyle/>
                  <a:p>
                    <a:fld id="{ACE28337-DB2F-4839-8BC2-071F82F124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8C1-4439-B786-29F8591BF4CB}"/>
                </c:ext>
              </c:extLst>
            </c:dLbl>
            <c:dLbl>
              <c:idx val="3"/>
              <c:tx>
                <c:rich>
                  <a:bodyPr/>
                  <a:lstStyle/>
                  <a:p>
                    <a:fld id="{6D1F8E19-14A8-48E6-81B1-8515687537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8C1-4439-B786-29F8591BF4C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Calculations!$N$85:$N$88</c:f>
              <c:numCache>
                <c:formatCode>General</c:formatCode>
                <c:ptCount val="4"/>
                <c:pt idx="0">
                  <c:v>1</c:v>
                </c:pt>
                <c:pt idx="1">
                  <c:v>2</c:v>
                </c:pt>
                <c:pt idx="2">
                  <c:v>1</c:v>
                </c:pt>
                <c:pt idx="3">
                  <c:v>2</c:v>
                </c:pt>
              </c:numCache>
            </c:numRef>
          </c:xVal>
          <c:yVal>
            <c:numRef>
              <c:f>Calculations!$O$85:$O$88</c:f>
              <c:numCache>
                <c:formatCode>General</c:formatCode>
                <c:ptCount val="4"/>
                <c:pt idx="0">
                  <c:v>2</c:v>
                </c:pt>
                <c:pt idx="1">
                  <c:v>2</c:v>
                </c:pt>
                <c:pt idx="2">
                  <c:v>1</c:v>
                </c:pt>
                <c:pt idx="3">
                  <c:v>1</c:v>
                </c:pt>
              </c:numCache>
            </c:numRef>
          </c:yVal>
          <c:bubbleSize>
            <c:numRef>
              <c:f>Calculations!$P$85:$P$88</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Calculations!$V$85:$V$88</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28C1-4439-B786-29F8591BF4CB}"/>
            </c:ext>
          </c:extLst>
        </c:ser>
        <c:ser>
          <c:idx val="1"/>
          <c:order val="1"/>
          <c:tx>
            <c:strRef>
              <c:f>Calculations!$R$82</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n w="25400">
              <a:noFill/>
            </a:ln>
            <a:effectLst>
              <a:glow rad="63500">
                <a:schemeClr val="accent1">
                  <a:satMod val="175000"/>
                  <a:alpha val="40000"/>
                </a:schemeClr>
              </a:glow>
              <a:outerShdw blurRad="50800" dist="38100" dir="13500000" algn="br" rotWithShape="0">
                <a:prstClr val="black">
                  <a:alpha val="40000"/>
                </a:prstClr>
              </a:outerShdw>
            </a:effectLst>
          </c:spPr>
          <c:invertIfNegative val="0"/>
          <c:xVal>
            <c:numRef>
              <c:f>Calculations!$N$85:$N$88</c:f>
              <c:numCache>
                <c:formatCode>General</c:formatCode>
                <c:ptCount val="4"/>
                <c:pt idx="0">
                  <c:v>1</c:v>
                </c:pt>
                <c:pt idx="1">
                  <c:v>2</c:v>
                </c:pt>
                <c:pt idx="2">
                  <c:v>1</c:v>
                </c:pt>
                <c:pt idx="3">
                  <c:v>2</c:v>
                </c:pt>
              </c:numCache>
            </c:numRef>
          </c:xVal>
          <c:yVal>
            <c:numRef>
              <c:f>Calculations!$O$85:$O$88</c:f>
              <c:numCache>
                <c:formatCode>General</c:formatCode>
                <c:ptCount val="4"/>
                <c:pt idx="0">
                  <c:v>2</c:v>
                </c:pt>
                <c:pt idx="1">
                  <c:v>2</c:v>
                </c:pt>
                <c:pt idx="2">
                  <c:v>1</c:v>
                </c:pt>
                <c:pt idx="3">
                  <c:v>1</c:v>
                </c:pt>
              </c:numCache>
            </c:numRef>
          </c:yVal>
          <c:bubbleSize>
            <c:numRef>
              <c:f>Calculations!$Q$85:$Q$88</c:f>
              <c:numCache>
                <c:formatCode>General</c:formatCode>
                <c:ptCount val="4"/>
                <c:pt idx="0">
                  <c:v>#N/A</c:v>
                </c:pt>
                <c:pt idx="1">
                  <c:v>#N/A</c:v>
                </c:pt>
                <c:pt idx="2">
                  <c:v>4237639</c:v>
                </c:pt>
                <c:pt idx="3">
                  <c:v>#N/A</c:v>
                </c:pt>
              </c:numCache>
            </c:numRef>
          </c:bubbleSize>
          <c:bubble3D val="0"/>
          <c:extLst>
            <c:ext xmlns:c16="http://schemas.microsoft.com/office/drawing/2014/chart" uri="{C3380CC4-5D6E-409C-BE32-E72D297353CC}">
              <c16:uniqueId val="{00000005-28C1-4439-B786-29F8591BF4CB}"/>
            </c:ext>
          </c:extLst>
        </c:ser>
        <c:dLbls>
          <c:showLegendKey val="0"/>
          <c:showVal val="0"/>
          <c:showCatName val="0"/>
          <c:showSerName val="0"/>
          <c:showPercent val="0"/>
          <c:showBubbleSize val="0"/>
        </c:dLbls>
        <c:bubbleScale val="200"/>
        <c:showNegBubbles val="0"/>
        <c:axId val="1433428927"/>
        <c:axId val="546142751"/>
      </c:bubbleChart>
      <c:valAx>
        <c:axId val="1433428927"/>
        <c:scaling>
          <c:orientation val="minMax"/>
          <c:min val="0.5"/>
        </c:scaling>
        <c:delete val="1"/>
        <c:axPos val="b"/>
        <c:numFmt formatCode="General" sourceLinked="1"/>
        <c:majorTickMark val="out"/>
        <c:minorTickMark val="none"/>
        <c:tickLblPos val="nextTo"/>
        <c:crossAx val="546142751"/>
        <c:crosses val="autoZero"/>
        <c:crossBetween val="midCat"/>
      </c:valAx>
      <c:valAx>
        <c:axId val="546142751"/>
        <c:scaling>
          <c:orientation val="minMax"/>
          <c:max val="2.5"/>
          <c:min val="0.5"/>
        </c:scaling>
        <c:delete val="1"/>
        <c:axPos val="l"/>
        <c:numFmt formatCode="General" sourceLinked="1"/>
        <c:majorTickMark val="out"/>
        <c:minorTickMark val="none"/>
        <c:tickLblPos val="nextTo"/>
        <c:crossAx val="14334289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Calculations!$K$152</c:f>
              <c:strCache>
                <c:ptCount val="1"/>
                <c:pt idx="0">
                  <c:v>Bars⏺️</c:v>
                </c:pt>
              </c:strCache>
            </c:strRef>
          </c:tx>
          <c:dPt>
            <c:idx val="0"/>
            <c:bubble3D val="0"/>
            <c:spPr>
              <a:noFill/>
              <a:ln w="19050">
                <a:noFill/>
              </a:ln>
              <a:effectLst/>
            </c:spPr>
            <c:extLst>
              <c:ext xmlns:c16="http://schemas.microsoft.com/office/drawing/2014/chart" uri="{C3380CC4-5D6E-409C-BE32-E72D297353CC}">
                <c16:uniqueId val="{00000001-51E2-4D49-A31D-DE3A02C48EF6}"/>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w="19050">
                <a:noFill/>
              </a:ln>
              <a:effectLst/>
            </c:spPr>
            <c:extLst>
              <c:ext xmlns:c16="http://schemas.microsoft.com/office/drawing/2014/chart" uri="{C3380CC4-5D6E-409C-BE32-E72D297353CC}">
                <c16:uniqueId val="{00000003-51E2-4D49-A31D-DE3A02C48EF6}"/>
              </c:ext>
            </c:extLst>
          </c:dPt>
          <c:dPt>
            <c:idx val="2"/>
            <c:bubble3D val="0"/>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5400000" scaled="1"/>
                <a:tileRect/>
              </a:gradFill>
              <a:ln w="19050">
                <a:noFill/>
              </a:ln>
              <a:effectLst/>
            </c:spPr>
            <c:extLst>
              <c:ext xmlns:c16="http://schemas.microsoft.com/office/drawing/2014/chart" uri="{C3380CC4-5D6E-409C-BE32-E72D297353CC}">
                <c16:uniqueId val="{00000005-51E2-4D49-A31D-DE3A02C48EF6}"/>
              </c:ext>
            </c:extLst>
          </c:dPt>
          <c:cat>
            <c:strRef>
              <c:f>Calculations!$L$151:$N$151</c:f>
              <c:strCache>
                <c:ptCount val="3"/>
                <c:pt idx="0">
                  <c:v>Blank</c:v>
                </c:pt>
                <c:pt idx="1">
                  <c:v>Profit %</c:v>
                </c:pt>
                <c:pt idx="2">
                  <c:v>Cost %</c:v>
                </c:pt>
              </c:strCache>
            </c:strRef>
          </c:cat>
          <c:val>
            <c:numRef>
              <c:f>Calculations!$L$152:$N$152</c:f>
              <c:numCache>
                <c:formatCode>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51E2-4D49-A31D-DE3A02C48EF6}"/>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Calculations!$K$153</c:f>
              <c:strCache>
                <c:ptCount val="1"/>
                <c:pt idx="0">
                  <c:v>Bites</c:v>
                </c:pt>
              </c:strCache>
            </c:strRef>
          </c:tx>
          <c:dPt>
            <c:idx val="0"/>
            <c:bubble3D val="0"/>
            <c:spPr>
              <a:noFill/>
              <a:ln w="19050">
                <a:noFill/>
              </a:ln>
              <a:effectLst/>
            </c:spPr>
            <c:extLst>
              <c:ext xmlns:c16="http://schemas.microsoft.com/office/drawing/2014/chart" uri="{C3380CC4-5D6E-409C-BE32-E72D297353CC}">
                <c16:uniqueId val="{00000001-614C-4B88-AB2F-5174ECF10B84}"/>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w="19050">
                <a:noFill/>
              </a:ln>
              <a:effectLst/>
            </c:spPr>
            <c:extLst>
              <c:ext xmlns:c16="http://schemas.microsoft.com/office/drawing/2014/chart" uri="{C3380CC4-5D6E-409C-BE32-E72D297353CC}">
                <c16:uniqueId val="{00000003-614C-4B88-AB2F-5174ECF10B84}"/>
              </c:ext>
            </c:extLst>
          </c:dPt>
          <c:dPt>
            <c:idx val="2"/>
            <c:bubble3D val="0"/>
            <c:spPr>
              <a:gradFill flip="none" rotWithShape="1">
                <a:gsLst>
                  <a:gs pos="0">
                    <a:schemeClr val="bg1">
                      <a:lumMod val="50000"/>
                      <a:shade val="30000"/>
                      <a:satMod val="115000"/>
                    </a:schemeClr>
                  </a:gs>
                  <a:gs pos="50000">
                    <a:schemeClr val="bg1">
                      <a:lumMod val="50000"/>
                      <a:shade val="67500"/>
                      <a:satMod val="115000"/>
                    </a:schemeClr>
                  </a:gs>
                  <a:gs pos="100000">
                    <a:schemeClr val="bg1">
                      <a:lumMod val="50000"/>
                      <a:shade val="100000"/>
                      <a:satMod val="115000"/>
                    </a:schemeClr>
                  </a:gs>
                </a:gsLst>
                <a:lin ang="5400000" scaled="1"/>
                <a:tileRect/>
              </a:gradFill>
              <a:ln w="19050">
                <a:noFill/>
              </a:ln>
              <a:effectLst/>
            </c:spPr>
            <c:extLst>
              <c:ext xmlns:c16="http://schemas.microsoft.com/office/drawing/2014/chart" uri="{C3380CC4-5D6E-409C-BE32-E72D297353CC}">
                <c16:uniqueId val="{00000005-614C-4B88-AB2F-5174ECF10B84}"/>
              </c:ext>
            </c:extLst>
          </c:dPt>
          <c:cat>
            <c:strRef>
              <c:f>Calculations!$L$151:$N$151</c:f>
              <c:strCache>
                <c:ptCount val="3"/>
                <c:pt idx="0">
                  <c:v>Blank</c:v>
                </c:pt>
                <c:pt idx="1">
                  <c:v>Profit %</c:v>
                </c:pt>
                <c:pt idx="2">
                  <c:v>Cost %</c:v>
                </c:pt>
              </c:strCache>
            </c:strRef>
          </c:cat>
          <c:val>
            <c:numRef>
              <c:f>Calculations!$L$153:$N$153</c:f>
              <c:numCache>
                <c:formatCode>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614C-4B88-AB2F-5174ECF10B8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Calculations!$K$154</c:f>
              <c:strCache>
                <c:ptCount val="1"/>
                <c:pt idx="0">
                  <c:v>Other</c:v>
                </c:pt>
              </c:strCache>
            </c:strRef>
          </c:tx>
          <c:dPt>
            <c:idx val="0"/>
            <c:bubble3D val="0"/>
            <c:spPr>
              <a:noFill/>
              <a:ln w="19050">
                <a:noFill/>
              </a:ln>
              <a:effectLst/>
            </c:spPr>
            <c:extLst>
              <c:ext xmlns:c16="http://schemas.microsoft.com/office/drawing/2014/chart" uri="{C3380CC4-5D6E-409C-BE32-E72D297353CC}">
                <c16:uniqueId val="{00000001-5A21-4E67-886E-9F187BA411B6}"/>
              </c:ext>
            </c:extLst>
          </c:dPt>
          <c:dPt>
            <c:idx val="1"/>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w="19050">
                <a:noFill/>
              </a:ln>
              <a:effectLst/>
            </c:spPr>
            <c:extLst>
              <c:ext xmlns:c16="http://schemas.microsoft.com/office/drawing/2014/chart" uri="{C3380CC4-5D6E-409C-BE32-E72D297353CC}">
                <c16:uniqueId val="{00000003-5A21-4E67-886E-9F187BA411B6}"/>
              </c:ext>
            </c:extLst>
          </c:dPt>
          <c:dPt>
            <c:idx val="2"/>
            <c:bubble3D val="0"/>
            <c:spPr>
              <a:gradFill flip="none" rotWithShape="1">
                <a:gsLst>
                  <a:gs pos="0">
                    <a:schemeClr val="bg1">
                      <a:lumMod val="50000"/>
                      <a:shade val="30000"/>
                      <a:satMod val="115000"/>
                    </a:schemeClr>
                  </a:gs>
                  <a:gs pos="50000">
                    <a:schemeClr val="bg1">
                      <a:lumMod val="50000"/>
                      <a:shade val="67500"/>
                      <a:satMod val="115000"/>
                    </a:schemeClr>
                  </a:gs>
                  <a:gs pos="100000">
                    <a:schemeClr val="bg1">
                      <a:lumMod val="50000"/>
                      <a:shade val="100000"/>
                      <a:satMod val="115000"/>
                    </a:schemeClr>
                  </a:gs>
                </a:gsLst>
                <a:lin ang="5400000" scaled="1"/>
                <a:tileRect/>
              </a:gradFill>
              <a:ln w="19050">
                <a:noFill/>
              </a:ln>
              <a:effectLst/>
            </c:spPr>
            <c:extLst>
              <c:ext xmlns:c16="http://schemas.microsoft.com/office/drawing/2014/chart" uri="{C3380CC4-5D6E-409C-BE32-E72D297353CC}">
                <c16:uniqueId val="{00000005-5A21-4E67-886E-9F187BA411B6}"/>
              </c:ext>
            </c:extLst>
          </c:dPt>
          <c:cat>
            <c:strRef>
              <c:f>Calculations!$L$151:$N$151</c:f>
              <c:strCache>
                <c:ptCount val="3"/>
                <c:pt idx="0">
                  <c:v>Blank</c:v>
                </c:pt>
                <c:pt idx="1">
                  <c:v>Profit %</c:v>
                </c:pt>
                <c:pt idx="2">
                  <c:v>Cost %</c:v>
                </c:pt>
              </c:strCache>
            </c:strRef>
          </c:cat>
          <c:val>
            <c:numRef>
              <c:f>Calculations!$L$154:$N$154</c:f>
              <c:numCache>
                <c:formatCode>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5A21-4E67-886E-9F187BA411B6}"/>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png"/><Relationship Id="rId18" Type="http://schemas.openxmlformats.org/officeDocument/2006/relationships/image" Target="../media/image18.png"/><Relationship Id="rId26" Type="http://schemas.openxmlformats.org/officeDocument/2006/relationships/image" Target="../media/image26.svg"/><Relationship Id="rId3" Type="http://schemas.openxmlformats.org/officeDocument/2006/relationships/image" Target="../media/image5.png"/><Relationship Id="rId21" Type="http://schemas.openxmlformats.org/officeDocument/2006/relationships/image" Target="../media/image21.png"/><Relationship Id="rId7" Type="http://schemas.openxmlformats.org/officeDocument/2006/relationships/image" Target="../media/image9.png"/><Relationship Id="rId12" Type="http://schemas.openxmlformats.org/officeDocument/2006/relationships/image" Target="../media/image14.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4.png"/><Relationship Id="rId16" Type="http://schemas.openxmlformats.org/officeDocument/2006/relationships/image" Target="../media/image16.svg"/><Relationship Id="rId20" Type="http://schemas.openxmlformats.org/officeDocument/2006/relationships/image" Target="../media/image20.pn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24" Type="http://schemas.openxmlformats.org/officeDocument/2006/relationships/image" Target="../media/image24.svg"/><Relationship Id="rId5" Type="http://schemas.openxmlformats.org/officeDocument/2006/relationships/image" Target="../media/image7.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2.svg"/><Relationship Id="rId19" Type="http://schemas.openxmlformats.org/officeDocument/2006/relationships/image" Target="../media/image19.pn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2.svg"/><Relationship Id="rId22" Type="http://schemas.openxmlformats.org/officeDocument/2006/relationships/image" Target="../media/image22.png"/><Relationship Id="rId27" Type="http://schemas.openxmlformats.org/officeDocument/2006/relationships/image" Target="../media/image2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30.emf"/><Relationship Id="rId18" Type="http://schemas.openxmlformats.org/officeDocument/2006/relationships/image" Target="../media/image23.png"/><Relationship Id="rId3" Type="http://schemas.openxmlformats.org/officeDocument/2006/relationships/image" Target="../media/image2.svg"/><Relationship Id="rId21" Type="http://schemas.openxmlformats.org/officeDocument/2006/relationships/chart" Target="../charts/chart5.xml"/><Relationship Id="rId7" Type="http://schemas.openxmlformats.org/officeDocument/2006/relationships/image" Target="../media/image16.svg"/><Relationship Id="rId12" Type="http://schemas.openxmlformats.org/officeDocument/2006/relationships/image" Target="../media/image29.emf"/><Relationship Id="rId17" Type="http://schemas.openxmlformats.org/officeDocument/2006/relationships/image" Target="../media/image34.emf"/><Relationship Id="rId2" Type="http://schemas.openxmlformats.org/officeDocument/2006/relationships/image" Target="../media/image1.png"/><Relationship Id="rId16" Type="http://schemas.openxmlformats.org/officeDocument/2006/relationships/image" Target="../media/image33.emf"/><Relationship Id="rId20" Type="http://schemas.openxmlformats.org/officeDocument/2006/relationships/chart" Target="../charts/chart4.xml"/><Relationship Id="rId1" Type="http://schemas.openxmlformats.org/officeDocument/2006/relationships/image" Target="../media/image3.png"/><Relationship Id="rId6" Type="http://schemas.openxmlformats.org/officeDocument/2006/relationships/image" Target="../media/image15.png"/><Relationship Id="rId11" Type="http://schemas.openxmlformats.org/officeDocument/2006/relationships/image" Target="../media/image10.svg"/><Relationship Id="rId5" Type="http://schemas.openxmlformats.org/officeDocument/2006/relationships/image" Target="../media/image14.svg"/><Relationship Id="rId15" Type="http://schemas.openxmlformats.org/officeDocument/2006/relationships/image" Target="../media/image32.emf"/><Relationship Id="rId23" Type="http://schemas.openxmlformats.org/officeDocument/2006/relationships/chart" Target="../charts/chart7.xml"/><Relationship Id="rId10" Type="http://schemas.openxmlformats.org/officeDocument/2006/relationships/image" Target="../media/image9.png"/><Relationship Id="rId19" Type="http://schemas.openxmlformats.org/officeDocument/2006/relationships/image" Target="../media/image24.svg"/><Relationship Id="rId4" Type="http://schemas.openxmlformats.org/officeDocument/2006/relationships/image" Target="../media/image13.png"/><Relationship Id="rId9" Type="http://schemas.openxmlformats.org/officeDocument/2006/relationships/image" Target="../media/image12.svg"/><Relationship Id="rId14" Type="http://schemas.openxmlformats.org/officeDocument/2006/relationships/image" Target="../media/image31.emf"/><Relationship Id="rId22"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 Id="rId6" Type="http://schemas.openxmlformats.org/officeDocument/2006/relationships/image" Target="../media/image40.png"/><Relationship Id="rId5" Type="http://schemas.openxmlformats.org/officeDocument/2006/relationships/image" Target="../media/image39.png"/><Relationship Id="rId4"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20</xdr:col>
      <xdr:colOff>19050</xdr:colOff>
      <xdr:row>29</xdr:row>
      <xdr:rowOff>19051</xdr:rowOff>
    </xdr:from>
    <xdr:to>
      <xdr:col>20</xdr:col>
      <xdr:colOff>201930</xdr:colOff>
      <xdr:row>30</xdr:row>
      <xdr:rowOff>20956</xdr:rowOff>
    </xdr:to>
    <xdr:pic>
      <xdr:nvPicPr>
        <xdr:cNvPr id="3" name="Graphic 2" descr="Shopping cart with solid fill">
          <a:extLst>
            <a:ext uri="{FF2B5EF4-FFF2-40B4-BE49-F238E27FC236}">
              <a16:creationId xmlns:a16="http://schemas.microsoft.com/office/drawing/2014/main" id="{8DF527B1-DF47-487A-9F90-9B280920D8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827500" y="5702301"/>
          <a:ext cx="182880" cy="179705"/>
        </a:xfrm>
        <a:prstGeom prst="rect">
          <a:avLst/>
        </a:prstGeom>
      </xdr:spPr>
    </xdr:pic>
    <xdr:clientData/>
  </xdr:twoCellAnchor>
  <xdr:twoCellAnchor>
    <xdr:from>
      <xdr:col>20</xdr:col>
      <xdr:colOff>209550</xdr:colOff>
      <xdr:row>29</xdr:row>
      <xdr:rowOff>0</xdr:rowOff>
    </xdr:from>
    <xdr:to>
      <xdr:col>21</xdr:col>
      <xdr:colOff>92075</xdr:colOff>
      <xdr:row>30</xdr:row>
      <xdr:rowOff>47626</xdr:rowOff>
    </xdr:to>
    <xdr:sp macro="" textlink="">
      <xdr:nvSpPr>
        <xdr:cNvPr id="4" name="TextBox 3">
          <a:extLst>
            <a:ext uri="{FF2B5EF4-FFF2-40B4-BE49-F238E27FC236}">
              <a16:creationId xmlns:a16="http://schemas.microsoft.com/office/drawing/2014/main" id="{CC80D80C-D4F3-46BD-9C92-61B3D44BFEB2}"/>
            </a:ext>
          </a:extLst>
        </xdr:cNvPr>
        <xdr:cNvSpPr txBox="1"/>
      </xdr:nvSpPr>
      <xdr:spPr>
        <a:xfrm>
          <a:off x="17018000" y="568325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20</xdr:col>
      <xdr:colOff>0</xdr:colOff>
      <xdr:row>29</xdr:row>
      <xdr:rowOff>142876</xdr:rowOff>
    </xdr:from>
    <xdr:to>
      <xdr:col>22</xdr:col>
      <xdr:colOff>177800</xdr:colOff>
      <xdr:row>32</xdr:row>
      <xdr:rowOff>142876</xdr:rowOff>
    </xdr:to>
    <xdr:sp macro="" textlink="$AB$22">
      <xdr:nvSpPr>
        <xdr:cNvPr id="5" name="TextBox 4">
          <a:extLst>
            <a:ext uri="{FF2B5EF4-FFF2-40B4-BE49-F238E27FC236}">
              <a16:creationId xmlns:a16="http://schemas.microsoft.com/office/drawing/2014/main" id="{7EB96D61-90BE-4626-857D-5A9948FEE5D1}"/>
            </a:ext>
          </a:extLst>
        </xdr:cNvPr>
        <xdr:cNvSpPr txBox="1"/>
      </xdr:nvSpPr>
      <xdr:spPr>
        <a:xfrm>
          <a:off x="16808450" y="5826126"/>
          <a:ext cx="214630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C338898-1A2C-4750-9082-8C4D6E47A253}" type="TxLink">
            <a:rPr lang="en-US" sz="2800" b="0" i="0" u="none" strike="noStrike">
              <a:solidFill>
                <a:srgbClr val="00B0F0"/>
              </a:solidFill>
              <a:latin typeface="Barlow Condensed SemiBold" panose="00000706000000000000" pitchFamily="2" charset="0"/>
              <a:ea typeface="+mn-ea"/>
              <a:cs typeface="Arial"/>
            </a:rPr>
            <a:pPr marL="0" indent="0"/>
            <a:t>$21.70 m</a:t>
          </a:fld>
          <a:endParaRPr lang="en-US" sz="6000">
            <a:solidFill>
              <a:srgbClr val="00B0F0"/>
            </a:solidFill>
            <a:latin typeface="Barlow Condensed SemiBold" panose="00000706000000000000" pitchFamily="2" charset="0"/>
            <a:ea typeface="+mn-ea"/>
            <a:cs typeface="+mn-cs"/>
          </a:endParaRPr>
        </a:p>
      </xdr:txBody>
    </xdr:sp>
    <xdr:clientData/>
  </xdr:twoCellAnchor>
  <xdr:twoCellAnchor>
    <xdr:from>
      <xdr:col>20</xdr:col>
      <xdr:colOff>31750</xdr:colOff>
      <xdr:row>32</xdr:row>
      <xdr:rowOff>146050</xdr:rowOff>
    </xdr:from>
    <xdr:to>
      <xdr:col>22</xdr:col>
      <xdr:colOff>209550</xdr:colOff>
      <xdr:row>35</xdr:row>
      <xdr:rowOff>146050</xdr:rowOff>
    </xdr:to>
    <xdr:sp macro="" textlink="$AC$22">
      <xdr:nvSpPr>
        <xdr:cNvPr id="7" name="TextBox 6">
          <a:extLst>
            <a:ext uri="{FF2B5EF4-FFF2-40B4-BE49-F238E27FC236}">
              <a16:creationId xmlns:a16="http://schemas.microsoft.com/office/drawing/2014/main" id="{60E5815A-3067-4A86-969E-D13C90E42818}"/>
            </a:ext>
          </a:extLst>
        </xdr:cNvPr>
        <xdr:cNvSpPr txBox="1"/>
      </xdr:nvSpPr>
      <xdr:spPr>
        <a:xfrm>
          <a:off x="16840200" y="6184900"/>
          <a:ext cx="214630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E3EBAD0-12BB-4BAE-8528-C58912016E5B}" type="TxLink">
            <a:rPr lang="en-US" sz="1100" b="0" i="0" u="none" strike="noStrike">
              <a:solidFill>
                <a:srgbClr val="000000"/>
              </a:solidFill>
              <a:latin typeface="Arial"/>
              <a:ea typeface="+mn-ea"/>
              <a:cs typeface="Arial"/>
            </a:rPr>
            <a:pPr marL="0" indent="0"/>
            <a:t>$10.74 m</a:t>
          </a:fld>
          <a:endParaRPr lang="en-US" sz="4000">
            <a:solidFill>
              <a:schemeClr val="accent2"/>
            </a:solidFill>
            <a:latin typeface="Barlow Condensed SemiBold" panose="00000706000000000000" pitchFamily="2" charset="0"/>
            <a:ea typeface="+mn-ea"/>
            <a:cs typeface="+mn-cs"/>
          </a:endParaRPr>
        </a:p>
      </xdr:txBody>
    </xdr:sp>
    <xdr:clientData/>
  </xdr:twoCellAnchor>
  <xdr:twoCellAnchor>
    <xdr:from>
      <xdr:col>9</xdr:col>
      <xdr:colOff>1252537</xdr:colOff>
      <xdr:row>154</xdr:row>
      <xdr:rowOff>161926</xdr:rowOff>
    </xdr:from>
    <xdr:to>
      <xdr:col>12</xdr:col>
      <xdr:colOff>323850</xdr:colOff>
      <xdr:row>164</xdr:row>
      <xdr:rowOff>85726</xdr:rowOff>
    </xdr:to>
    <xdr:graphicFrame macro="">
      <xdr:nvGraphicFramePr>
        <xdr:cNvPr id="2" name="Chart 1">
          <a:extLst>
            <a:ext uri="{FF2B5EF4-FFF2-40B4-BE49-F238E27FC236}">
              <a16:creationId xmlns:a16="http://schemas.microsoft.com/office/drawing/2014/main" id="{E7590760-7B71-4EC3-81C1-B4AE1A632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676276</xdr:colOff>
      <xdr:row>157</xdr:row>
      <xdr:rowOff>19051</xdr:rowOff>
    </xdr:from>
    <xdr:to>
      <xdr:col>11</xdr:col>
      <xdr:colOff>314325</xdr:colOff>
      <xdr:row>161</xdr:row>
      <xdr:rowOff>63256</xdr:rowOff>
    </xdr:to>
    <xdr:sp macro="" textlink="$M$152">
      <xdr:nvSpPr>
        <xdr:cNvPr id="6" name="Oval 5">
          <a:extLst>
            <a:ext uri="{FF2B5EF4-FFF2-40B4-BE49-F238E27FC236}">
              <a16:creationId xmlns:a16="http://schemas.microsoft.com/office/drawing/2014/main" id="{1056B675-3FAE-4A52-8450-4A822E5D7062}"/>
            </a:ext>
          </a:extLst>
        </xdr:cNvPr>
        <xdr:cNvSpPr/>
      </xdr:nvSpPr>
      <xdr:spPr>
        <a:xfrm>
          <a:off x="9972676" y="28889326"/>
          <a:ext cx="809624" cy="768105"/>
        </a:xfrm>
        <a:prstGeom prst="ellipse">
          <a:avLst/>
        </a:prstGeom>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fld id="{2295C8E2-B45E-4DBA-A7E6-4836A8EEF34C}" type="TxLink">
            <a:rPr lang="en-US" sz="1000" b="0" i="0" u="none" strike="noStrike">
              <a:solidFill>
                <a:srgbClr val="000000"/>
              </a:solidFill>
              <a:latin typeface="Arial"/>
              <a:cs typeface="Arial"/>
            </a:rPr>
            <a:pPr algn="ctr"/>
            <a:t>69.0%</a:t>
          </a:fld>
          <a:endParaRPr lang="en-US" sz="1000"/>
        </a:p>
      </xdr:txBody>
    </xdr:sp>
    <xdr:clientData/>
  </xdr:twoCellAnchor>
  <xdr:twoCellAnchor>
    <xdr:from>
      <xdr:col>14</xdr:col>
      <xdr:colOff>0</xdr:colOff>
      <xdr:row>158</xdr:row>
      <xdr:rowOff>164040</xdr:rowOff>
    </xdr:from>
    <xdr:to>
      <xdr:col>15</xdr:col>
      <xdr:colOff>363854</xdr:colOff>
      <xdr:row>167</xdr:row>
      <xdr:rowOff>89745</xdr:rowOff>
    </xdr:to>
    <xdr:graphicFrame macro="">
      <xdr:nvGraphicFramePr>
        <xdr:cNvPr id="8" name="Chart 7">
          <a:extLst>
            <a:ext uri="{FF2B5EF4-FFF2-40B4-BE49-F238E27FC236}">
              <a16:creationId xmlns:a16="http://schemas.microsoft.com/office/drawing/2014/main" id="{BCCED441-3209-4E5D-BEB2-2AF84280FD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423335</xdr:colOff>
      <xdr:row>161</xdr:row>
      <xdr:rowOff>21168</xdr:rowOff>
    </xdr:from>
    <xdr:to>
      <xdr:col>14</xdr:col>
      <xdr:colOff>1121833</xdr:colOff>
      <xdr:row>164</xdr:row>
      <xdr:rowOff>178859</xdr:rowOff>
    </xdr:to>
    <xdr:sp macro="" textlink="Calculations!$M$153">
      <xdr:nvSpPr>
        <xdr:cNvPr id="9" name="Oval 8">
          <a:extLst>
            <a:ext uri="{FF2B5EF4-FFF2-40B4-BE49-F238E27FC236}">
              <a16:creationId xmlns:a16="http://schemas.microsoft.com/office/drawing/2014/main" id="{559A3110-277D-4184-A610-0CC2C86BF3A6}"/>
            </a:ext>
          </a:extLst>
        </xdr:cNvPr>
        <xdr:cNvSpPr/>
      </xdr:nvSpPr>
      <xdr:spPr>
        <a:xfrm>
          <a:off x="13977410" y="29624868"/>
          <a:ext cx="698498" cy="700616"/>
        </a:xfrm>
        <a:prstGeom prst="ellipse">
          <a:avLst/>
        </a:prstGeom>
        <a:ln>
          <a:noFill/>
        </a:ln>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wrap="none" lIns="0" tIns="0" rIns="0" bIns="0" rtlCol="0" anchor="ctr"/>
        <a:lstStyle/>
        <a:p>
          <a:pPr algn="ctr"/>
          <a:fld id="{63C35FEA-93DA-4509-8E1F-4E7ACA151423}" type="TxLink">
            <a:rPr lang="en-US" sz="1100" b="0" i="0" u="none" strike="noStrike">
              <a:solidFill>
                <a:srgbClr val="000000"/>
              </a:solidFill>
              <a:latin typeface="Arial"/>
              <a:cs typeface="Arial"/>
            </a:rPr>
            <a:pPr algn="ctr"/>
            <a:t>60.3%</a:t>
          </a:fld>
          <a:endParaRPr lang="en-US" sz="700"/>
        </a:p>
      </xdr:txBody>
    </xdr:sp>
    <xdr:clientData/>
  </xdr:twoCellAnchor>
  <xdr:twoCellAnchor>
    <xdr:from>
      <xdr:col>14</xdr:col>
      <xdr:colOff>356658</xdr:colOff>
      <xdr:row>165</xdr:row>
      <xdr:rowOff>97367</xdr:rowOff>
    </xdr:from>
    <xdr:to>
      <xdr:col>15</xdr:col>
      <xdr:colOff>224367</xdr:colOff>
      <xdr:row>166</xdr:row>
      <xdr:rowOff>159808</xdr:rowOff>
    </xdr:to>
    <xdr:sp macro="" textlink="Calculations!T153">
      <xdr:nvSpPr>
        <xdr:cNvPr id="10" name="TextBox 9">
          <a:extLst>
            <a:ext uri="{FF2B5EF4-FFF2-40B4-BE49-F238E27FC236}">
              <a16:creationId xmlns:a16="http://schemas.microsoft.com/office/drawing/2014/main" id="{FC06D133-EED6-4BC1-9808-5A5653C9BBAD}"/>
            </a:ext>
          </a:extLst>
        </xdr:cNvPr>
        <xdr:cNvSpPr txBox="1"/>
      </xdr:nvSpPr>
      <xdr:spPr>
        <a:xfrm>
          <a:off x="13910733" y="30424967"/>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7FED89C4-31C1-4C38-AEE5-CA39301DAEF8}" type="TxLink">
            <a:rPr lang="en-US" sz="1100" b="0" i="0" u="none" strike="noStrike">
              <a:solidFill>
                <a:srgbClr val="000000"/>
              </a:solidFill>
              <a:effectLst/>
              <a:latin typeface="Arial"/>
              <a:ea typeface="+mn-ea"/>
              <a:cs typeface="Arial"/>
            </a:rPr>
            <a:pPr marL="0" indent="0"/>
            <a:t>$4.27/$7.08 m</a:t>
          </a:fld>
          <a:endParaRPr lang="en-US" sz="1200" b="0" i="0" u="none" strike="noStrike">
            <a:solidFill>
              <a:schemeClr val="tx1">
                <a:lumMod val="50000"/>
                <a:lumOff val="50000"/>
              </a:schemeClr>
            </a:solidFill>
            <a:effectLst/>
            <a:latin typeface="+mj-lt"/>
            <a:ea typeface="+mn-ea"/>
            <a:cs typeface="Arial"/>
          </a:endParaRPr>
        </a:p>
      </xdr:txBody>
    </xdr:sp>
    <xdr:clientData/>
  </xdr:twoCellAnchor>
  <xdr:twoCellAnchor>
    <xdr:from>
      <xdr:col>14</xdr:col>
      <xdr:colOff>244475</xdr:colOff>
      <xdr:row>156</xdr:row>
      <xdr:rowOff>161925</xdr:rowOff>
    </xdr:from>
    <xdr:to>
      <xdr:col>15</xdr:col>
      <xdr:colOff>112184</xdr:colOff>
      <xdr:row>158</xdr:row>
      <xdr:rowOff>43391</xdr:rowOff>
    </xdr:to>
    <xdr:sp macro="" textlink="Calculations!K153">
      <xdr:nvSpPr>
        <xdr:cNvPr id="11" name="TextBox 10">
          <a:extLst>
            <a:ext uri="{FF2B5EF4-FFF2-40B4-BE49-F238E27FC236}">
              <a16:creationId xmlns:a16="http://schemas.microsoft.com/office/drawing/2014/main" id="{085C9FC1-B06D-442E-A696-6AB8C316FFE6}"/>
            </a:ext>
          </a:extLst>
        </xdr:cNvPr>
        <xdr:cNvSpPr txBox="1"/>
      </xdr:nvSpPr>
      <xdr:spPr>
        <a:xfrm>
          <a:off x="13798550" y="28860750"/>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6F651095-CBB1-454F-AEC5-66E44BEC9A11}" type="TxLink">
            <a:rPr lang="en-US" sz="1100" b="0" i="0" u="none" strike="noStrike">
              <a:solidFill>
                <a:srgbClr val="000000"/>
              </a:solidFill>
              <a:effectLst/>
              <a:latin typeface="Arial"/>
              <a:ea typeface="+mn-ea"/>
              <a:cs typeface="Arial"/>
            </a:rPr>
            <a:pPr marL="0" indent="0" algn="ctr"/>
            <a:t>Bites</a:t>
          </a:fld>
          <a:endParaRPr lang="en-US" sz="1600" b="0" i="0" u="none" strike="noStrike">
            <a:solidFill>
              <a:srgbClr val="FFC000"/>
            </a:solidFill>
            <a:effectLst/>
            <a:latin typeface="+mj-lt"/>
            <a:ea typeface="+mn-ea"/>
            <a:cs typeface="Arial"/>
          </a:endParaRPr>
        </a:p>
      </xdr:txBody>
    </xdr:sp>
    <xdr:clientData/>
  </xdr:twoCellAnchor>
  <xdr:twoCellAnchor>
    <xdr:from>
      <xdr:col>15</xdr:col>
      <xdr:colOff>1181100</xdr:colOff>
      <xdr:row>158</xdr:row>
      <xdr:rowOff>125940</xdr:rowOff>
    </xdr:from>
    <xdr:to>
      <xdr:col>17</xdr:col>
      <xdr:colOff>230504</xdr:colOff>
      <xdr:row>167</xdr:row>
      <xdr:rowOff>51645</xdr:rowOff>
    </xdr:to>
    <xdr:graphicFrame macro="">
      <xdr:nvGraphicFramePr>
        <xdr:cNvPr id="12" name="Chart 11">
          <a:extLst>
            <a:ext uri="{FF2B5EF4-FFF2-40B4-BE49-F238E27FC236}">
              <a16:creationId xmlns:a16="http://schemas.microsoft.com/office/drawing/2014/main" id="{1D0C3C4B-67F3-4043-8F90-89085CD60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413810</xdr:colOff>
      <xdr:row>160</xdr:row>
      <xdr:rowOff>164043</xdr:rowOff>
    </xdr:from>
    <xdr:to>
      <xdr:col>16</xdr:col>
      <xdr:colOff>1112308</xdr:colOff>
      <xdr:row>164</xdr:row>
      <xdr:rowOff>140759</xdr:rowOff>
    </xdr:to>
    <xdr:sp macro="" textlink="Calculations!$M$154">
      <xdr:nvSpPr>
        <xdr:cNvPr id="13" name="Oval 12">
          <a:extLst>
            <a:ext uri="{FF2B5EF4-FFF2-40B4-BE49-F238E27FC236}">
              <a16:creationId xmlns:a16="http://schemas.microsoft.com/office/drawing/2014/main" id="{F586CD49-CD6B-431A-BF94-CDE11966D674}"/>
            </a:ext>
          </a:extLst>
        </xdr:cNvPr>
        <xdr:cNvSpPr/>
      </xdr:nvSpPr>
      <xdr:spPr>
        <a:xfrm>
          <a:off x="16349135" y="29586768"/>
          <a:ext cx="698498" cy="700616"/>
        </a:xfrm>
        <a:prstGeom prst="ellipse">
          <a:avLst/>
        </a:prstGeom>
        <a:ln>
          <a:noFill/>
        </a:ln>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wrap="none" lIns="0" tIns="0" rIns="0" bIns="0" rtlCol="0" anchor="ctr"/>
        <a:lstStyle/>
        <a:p>
          <a:pPr algn="ctr"/>
          <a:fld id="{5011A0CC-1EFE-485E-8608-BF2F1C1ED92E}" type="TxLink">
            <a:rPr lang="en-US" sz="1100" b="0" i="0" u="none" strike="noStrike">
              <a:solidFill>
                <a:srgbClr val="000000"/>
              </a:solidFill>
              <a:latin typeface="Arial"/>
              <a:cs typeface="Arial"/>
            </a:rPr>
            <a:pPr algn="ctr"/>
            <a:t>86.2%</a:t>
          </a:fld>
          <a:endParaRPr lang="en-US" sz="700"/>
        </a:p>
      </xdr:txBody>
    </xdr:sp>
    <xdr:clientData/>
  </xdr:twoCellAnchor>
  <xdr:twoCellAnchor>
    <xdr:from>
      <xdr:col>16</xdr:col>
      <xdr:colOff>318558</xdr:colOff>
      <xdr:row>165</xdr:row>
      <xdr:rowOff>97367</xdr:rowOff>
    </xdr:from>
    <xdr:to>
      <xdr:col>17</xdr:col>
      <xdr:colOff>62442</xdr:colOff>
      <xdr:row>166</xdr:row>
      <xdr:rowOff>159808</xdr:rowOff>
    </xdr:to>
    <xdr:sp macro="" textlink="Calculations!T154">
      <xdr:nvSpPr>
        <xdr:cNvPr id="14" name="TextBox 13">
          <a:extLst>
            <a:ext uri="{FF2B5EF4-FFF2-40B4-BE49-F238E27FC236}">
              <a16:creationId xmlns:a16="http://schemas.microsoft.com/office/drawing/2014/main" id="{906CE416-6A93-479B-9655-D443F38AF095}"/>
            </a:ext>
          </a:extLst>
        </xdr:cNvPr>
        <xdr:cNvSpPr txBox="1"/>
      </xdr:nvSpPr>
      <xdr:spPr>
        <a:xfrm>
          <a:off x="16253883" y="30424967"/>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506E3B3A-33D6-47CD-B5E6-36BC876C6676}" type="TxLink">
            <a:rPr lang="en-US" sz="1100" b="0" i="0" u="none" strike="noStrike">
              <a:solidFill>
                <a:srgbClr val="000000"/>
              </a:solidFill>
              <a:effectLst/>
              <a:latin typeface="Arial"/>
              <a:ea typeface="+mn-ea"/>
              <a:cs typeface="Arial"/>
            </a:rPr>
            <a:pPr marL="0" indent="0"/>
            <a:t>$3.34/$3.88 m</a:t>
          </a:fld>
          <a:endParaRPr lang="en-US" sz="1200" b="0" i="0" u="none" strike="noStrike">
            <a:solidFill>
              <a:schemeClr val="tx1">
                <a:lumMod val="50000"/>
                <a:lumOff val="50000"/>
              </a:schemeClr>
            </a:solidFill>
            <a:effectLst/>
            <a:latin typeface="+mj-lt"/>
            <a:ea typeface="+mn-ea"/>
            <a:cs typeface="Arial"/>
          </a:endParaRPr>
        </a:p>
      </xdr:txBody>
    </xdr:sp>
    <xdr:clientData/>
  </xdr:twoCellAnchor>
  <xdr:twoCellAnchor>
    <xdr:from>
      <xdr:col>16</xdr:col>
      <xdr:colOff>158750</xdr:colOff>
      <xdr:row>156</xdr:row>
      <xdr:rowOff>142875</xdr:rowOff>
    </xdr:from>
    <xdr:to>
      <xdr:col>16</xdr:col>
      <xdr:colOff>1217084</xdr:colOff>
      <xdr:row>158</xdr:row>
      <xdr:rowOff>24341</xdr:rowOff>
    </xdr:to>
    <xdr:sp macro="" textlink="Calculations!K154">
      <xdr:nvSpPr>
        <xdr:cNvPr id="15" name="TextBox 14">
          <a:extLst>
            <a:ext uri="{FF2B5EF4-FFF2-40B4-BE49-F238E27FC236}">
              <a16:creationId xmlns:a16="http://schemas.microsoft.com/office/drawing/2014/main" id="{DF84BEF5-DDB2-4026-8303-3FF4B5D2876D}"/>
            </a:ext>
          </a:extLst>
        </xdr:cNvPr>
        <xdr:cNvSpPr txBox="1"/>
      </xdr:nvSpPr>
      <xdr:spPr>
        <a:xfrm>
          <a:off x="16094075" y="28841700"/>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80310680-130E-4C27-8C45-57314F6F8798}" type="TxLink">
            <a:rPr lang="en-US" sz="1100" b="0" i="0" u="none" strike="noStrike">
              <a:solidFill>
                <a:srgbClr val="000000"/>
              </a:solidFill>
              <a:effectLst/>
              <a:latin typeface="Arial"/>
              <a:ea typeface="+mn-ea"/>
              <a:cs typeface="Arial"/>
            </a:rPr>
            <a:pPr marL="0" indent="0" algn="ctr"/>
            <a:t>Other</a:t>
          </a:fld>
          <a:endParaRPr lang="en-US" sz="1600" b="0" i="0" u="none" strike="noStrike">
            <a:solidFill>
              <a:srgbClr val="FFC000"/>
            </a:solidFill>
            <a:effectLst/>
            <a:latin typeface="+mj-lt"/>
            <a:ea typeface="+mn-ea"/>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29482</xdr:colOff>
      <xdr:row>43</xdr:row>
      <xdr:rowOff>109763</xdr:rowOff>
    </xdr:from>
    <xdr:to>
      <xdr:col>1</xdr:col>
      <xdr:colOff>1126218</xdr:colOff>
      <xdr:row>43</xdr:row>
      <xdr:rowOff>1206499</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691696" y="7911192"/>
          <a:ext cx="1096736" cy="1096736"/>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08025" y="12693650"/>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8025" y="11436350"/>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08025" y="13950950"/>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xdr:colOff>
      <xdr:row>1</xdr:row>
      <xdr:rowOff>0</xdr:rowOff>
    </xdr:from>
    <xdr:to>
      <xdr:col>7</xdr:col>
      <xdr:colOff>234950</xdr:colOff>
      <xdr:row>4</xdr:row>
      <xdr:rowOff>31750</xdr:rowOff>
    </xdr:to>
    <xdr:sp macro="" textlink="">
      <xdr:nvSpPr>
        <xdr:cNvPr id="2" name="TextBox 1">
          <a:extLst>
            <a:ext uri="{FF2B5EF4-FFF2-40B4-BE49-F238E27FC236}">
              <a16:creationId xmlns:a16="http://schemas.microsoft.com/office/drawing/2014/main" id="{DEC95E84-7A6B-5273-EEF3-FBBD29C1CC59}"/>
            </a:ext>
          </a:extLst>
        </xdr:cNvPr>
        <xdr:cNvSpPr txBox="1"/>
      </xdr:nvSpPr>
      <xdr:spPr>
        <a:xfrm>
          <a:off x="285750" y="177800"/>
          <a:ext cx="2616200" cy="565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5400000" algn="t" rotWithShape="0">
                  <a:prstClr val="black">
                    <a:alpha val="40000"/>
                  </a:prstClr>
                </a:outerShdw>
              </a:effectLst>
              <a:latin typeface="+mj-lt"/>
            </a:rPr>
            <a:t>Chocolate</a:t>
          </a:r>
          <a:r>
            <a:rPr lang="en-US"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5400000" algn="t" rotWithShape="0">
                  <a:prstClr val="black">
                    <a:alpha val="40000"/>
                  </a:prstClr>
                </a:outerShdw>
              </a:effectLst>
              <a:latin typeface="+mj-lt"/>
            </a:rPr>
            <a:t> Sales</a:t>
          </a:r>
        </a:p>
      </xdr:txBody>
    </xdr:sp>
    <xdr:clientData/>
  </xdr:twoCellAnchor>
  <xdr:twoCellAnchor editAs="oneCell">
    <xdr:from>
      <xdr:col>6</xdr:col>
      <xdr:colOff>240594</xdr:colOff>
      <xdr:row>0</xdr:row>
      <xdr:rowOff>131939</xdr:rowOff>
    </xdr:from>
    <xdr:to>
      <xdr:col>6</xdr:col>
      <xdr:colOff>764312</xdr:colOff>
      <xdr:row>3</xdr:row>
      <xdr:rowOff>106382</xdr:rowOff>
    </xdr:to>
    <xdr:pic>
      <xdr:nvPicPr>
        <xdr:cNvPr id="3" name="Picture 2">
          <a:extLst>
            <a:ext uri="{FF2B5EF4-FFF2-40B4-BE49-F238E27FC236}">
              <a16:creationId xmlns:a16="http://schemas.microsoft.com/office/drawing/2014/main" id="{2B93A556-4A2E-4BEE-8AF8-F12DD61EFD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0483" y="131939"/>
          <a:ext cx="523718" cy="503610"/>
        </a:xfrm>
        <a:prstGeom prst="rect">
          <a:avLst/>
        </a:prstGeom>
      </xdr:spPr>
    </xdr:pic>
    <xdr:clientData/>
  </xdr:twoCellAnchor>
  <xdr:twoCellAnchor editAs="oneCell">
    <xdr:from>
      <xdr:col>2</xdr:col>
      <xdr:colOff>19050</xdr:colOff>
      <xdr:row>6</xdr:row>
      <xdr:rowOff>19051</xdr:rowOff>
    </xdr:from>
    <xdr:to>
      <xdr:col>2</xdr:col>
      <xdr:colOff>201930</xdr:colOff>
      <xdr:row>7</xdr:row>
      <xdr:rowOff>20956</xdr:rowOff>
    </xdr:to>
    <xdr:pic>
      <xdr:nvPicPr>
        <xdr:cNvPr id="4" name="Graphic 3" descr="Shopping cart with solid fill">
          <a:extLst>
            <a:ext uri="{FF2B5EF4-FFF2-40B4-BE49-F238E27FC236}">
              <a16:creationId xmlns:a16="http://schemas.microsoft.com/office/drawing/2014/main" id="{76E7A0AC-3616-462F-BE7F-7A849D4C99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98450" y="1085851"/>
          <a:ext cx="182880" cy="179705"/>
        </a:xfrm>
        <a:prstGeom prst="rect">
          <a:avLst/>
        </a:prstGeom>
      </xdr:spPr>
    </xdr:pic>
    <xdr:clientData/>
  </xdr:twoCellAnchor>
  <xdr:twoCellAnchor>
    <xdr:from>
      <xdr:col>2</xdr:col>
      <xdr:colOff>209550</xdr:colOff>
      <xdr:row>6</xdr:row>
      <xdr:rowOff>0</xdr:rowOff>
    </xdr:from>
    <xdr:to>
      <xdr:col>4</xdr:col>
      <xdr:colOff>263525</xdr:colOff>
      <xdr:row>7</xdr:row>
      <xdr:rowOff>47626</xdr:rowOff>
    </xdr:to>
    <xdr:sp macro="" textlink="">
      <xdr:nvSpPr>
        <xdr:cNvPr id="5" name="TextBox 4">
          <a:extLst>
            <a:ext uri="{FF2B5EF4-FFF2-40B4-BE49-F238E27FC236}">
              <a16:creationId xmlns:a16="http://schemas.microsoft.com/office/drawing/2014/main" id="{7A93A357-E53E-469B-86C2-D02E2BAC1026}"/>
            </a:ext>
          </a:extLst>
        </xdr:cNvPr>
        <xdr:cNvSpPr txBox="1"/>
      </xdr:nvSpPr>
      <xdr:spPr>
        <a:xfrm>
          <a:off x="488950" y="10668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44450</xdr:colOff>
      <xdr:row>7</xdr:row>
      <xdr:rowOff>3176</xdr:rowOff>
    </xdr:from>
    <xdr:to>
      <xdr:col>4</xdr:col>
      <xdr:colOff>107950</xdr:colOff>
      <xdr:row>9</xdr:row>
      <xdr:rowOff>114300</xdr:rowOff>
    </xdr:to>
    <xdr:sp macro="" textlink="Calculations!$AB$22">
      <xdr:nvSpPr>
        <xdr:cNvPr id="6" name="TextBox 5">
          <a:extLst>
            <a:ext uri="{FF2B5EF4-FFF2-40B4-BE49-F238E27FC236}">
              <a16:creationId xmlns:a16="http://schemas.microsoft.com/office/drawing/2014/main" id="{39645344-2542-445F-BDC7-390BDA711193}"/>
            </a:ext>
          </a:extLst>
        </xdr:cNvPr>
        <xdr:cNvSpPr txBox="1"/>
      </xdr:nvSpPr>
      <xdr:spPr>
        <a:xfrm>
          <a:off x="323850" y="1247776"/>
          <a:ext cx="1873250" cy="4667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644DE92-0394-44FF-9A4F-E7F37B87E756}" type="TxLink">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pPr marL="0" indent="0"/>
            <a:t>$21.70 m</a:t>
          </a:fld>
          <a:endPar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2</xdr:col>
      <xdr:colOff>1587</xdr:colOff>
      <xdr:row>11</xdr:row>
      <xdr:rowOff>19051</xdr:rowOff>
    </xdr:from>
    <xdr:to>
      <xdr:col>2</xdr:col>
      <xdr:colOff>181292</xdr:colOff>
      <xdr:row>12</xdr:row>
      <xdr:rowOff>20956</xdr:rowOff>
    </xdr:to>
    <xdr:pic>
      <xdr:nvPicPr>
        <xdr:cNvPr id="7" name="Graphic 6">
          <a:extLst>
            <a:ext uri="{FF2B5EF4-FFF2-40B4-BE49-F238E27FC236}">
              <a16:creationId xmlns:a16="http://schemas.microsoft.com/office/drawing/2014/main" id="{38410E7F-C177-448C-B4AB-29C31586B5E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280987" y="1974851"/>
          <a:ext cx="179705" cy="179705"/>
        </a:xfrm>
        <a:prstGeom prst="rect">
          <a:avLst/>
        </a:prstGeom>
      </xdr:spPr>
    </xdr:pic>
    <xdr:clientData/>
  </xdr:twoCellAnchor>
  <xdr:twoCellAnchor>
    <xdr:from>
      <xdr:col>2</xdr:col>
      <xdr:colOff>190500</xdr:colOff>
      <xdr:row>11</xdr:row>
      <xdr:rowOff>0</xdr:rowOff>
    </xdr:from>
    <xdr:to>
      <xdr:col>4</xdr:col>
      <xdr:colOff>244475</xdr:colOff>
      <xdr:row>12</xdr:row>
      <xdr:rowOff>47626</xdr:rowOff>
    </xdr:to>
    <xdr:sp macro="" textlink="">
      <xdr:nvSpPr>
        <xdr:cNvPr id="8" name="TextBox 7">
          <a:extLst>
            <a:ext uri="{FF2B5EF4-FFF2-40B4-BE49-F238E27FC236}">
              <a16:creationId xmlns:a16="http://schemas.microsoft.com/office/drawing/2014/main" id="{67C87917-46BB-4006-BFDF-2248B3426365}"/>
            </a:ext>
          </a:extLst>
        </xdr:cNvPr>
        <xdr:cNvSpPr txBox="1"/>
      </xdr:nvSpPr>
      <xdr:spPr>
        <a:xfrm>
          <a:off x="469900" y="19558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2</xdr:col>
      <xdr:colOff>25400</xdr:colOff>
      <xdr:row>12</xdr:row>
      <xdr:rowOff>3176</xdr:rowOff>
    </xdr:from>
    <xdr:to>
      <xdr:col>3</xdr:col>
      <xdr:colOff>431800</xdr:colOff>
      <xdr:row>14</xdr:row>
      <xdr:rowOff>76200</xdr:rowOff>
    </xdr:to>
    <xdr:sp macro="" textlink="Calculations!$AB$23">
      <xdr:nvSpPr>
        <xdr:cNvPr id="9" name="TextBox 8">
          <a:extLst>
            <a:ext uri="{FF2B5EF4-FFF2-40B4-BE49-F238E27FC236}">
              <a16:creationId xmlns:a16="http://schemas.microsoft.com/office/drawing/2014/main" id="{A33E6729-D185-45D0-9667-5322CB071AE2}"/>
            </a:ext>
          </a:extLst>
        </xdr:cNvPr>
        <xdr:cNvSpPr txBox="1"/>
      </xdr:nvSpPr>
      <xdr:spPr>
        <a:xfrm>
          <a:off x="304800" y="2136776"/>
          <a:ext cx="1739900" cy="4286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A543AA3-FFAE-4946-8313-66B715858EED}" type="TxLink">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pPr marL="0" indent="0"/>
            <a:t>1,344.6 k</a:t>
          </a:fld>
          <a:endPar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2</xdr:col>
      <xdr:colOff>1587</xdr:colOff>
      <xdr:row>16</xdr:row>
      <xdr:rowOff>19051</xdr:rowOff>
    </xdr:from>
    <xdr:to>
      <xdr:col>2</xdr:col>
      <xdr:colOff>181292</xdr:colOff>
      <xdr:row>17</xdr:row>
      <xdr:rowOff>9050</xdr:rowOff>
    </xdr:to>
    <xdr:pic>
      <xdr:nvPicPr>
        <xdr:cNvPr id="10" name="Graphic 9">
          <a:extLst>
            <a:ext uri="{FF2B5EF4-FFF2-40B4-BE49-F238E27FC236}">
              <a16:creationId xmlns:a16="http://schemas.microsoft.com/office/drawing/2014/main" id="{7EB5846D-8730-498C-A5EB-1923E4A990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280987" y="2863851"/>
          <a:ext cx="179705" cy="179705"/>
        </a:xfrm>
        <a:prstGeom prst="rect">
          <a:avLst/>
        </a:prstGeom>
      </xdr:spPr>
    </xdr:pic>
    <xdr:clientData/>
  </xdr:twoCellAnchor>
  <xdr:twoCellAnchor>
    <xdr:from>
      <xdr:col>2</xdr:col>
      <xdr:colOff>190500</xdr:colOff>
      <xdr:row>16</xdr:row>
      <xdr:rowOff>0</xdr:rowOff>
    </xdr:from>
    <xdr:to>
      <xdr:col>4</xdr:col>
      <xdr:colOff>244475</xdr:colOff>
      <xdr:row>17</xdr:row>
      <xdr:rowOff>47626</xdr:rowOff>
    </xdr:to>
    <xdr:sp macro="" textlink="">
      <xdr:nvSpPr>
        <xdr:cNvPr id="11" name="TextBox 10">
          <a:extLst>
            <a:ext uri="{FF2B5EF4-FFF2-40B4-BE49-F238E27FC236}">
              <a16:creationId xmlns:a16="http://schemas.microsoft.com/office/drawing/2014/main" id="{19995FBE-E17E-4612-B2DE-844ED6991B25}"/>
            </a:ext>
          </a:extLst>
        </xdr:cNvPr>
        <xdr:cNvSpPr txBox="1"/>
      </xdr:nvSpPr>
      <xdr:spPr>
        <a:xfrm>
          <a:off x="469900" y="28448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25400</xdr:colOff>
      <xdr:row>17</xdr:row>
      <xdr:rowOff>3176</xdr:rowOff>
    </xdr:from>
    <xdr:to>
      <xdr:col>3</xdr:col>
      <xdr:colOff>165100</xdr:colOff>
      <xdr:row>19</xdr:row>
      <xdr:rowOff>38100</xdr:rowOff>
    </xdr:to>
    <xdr:sp macro="" textlink="Calculations!$AB$24">
      <xdr:nvSpPr>
        <xdr:cNvPr id="12" name="TextBox 11">
          <a:extLst>
            <a:ext uri="{FF2B5EF4-FFF2-40B4-BE49-F238E27FC236}">
              <a16:creationId xmlns:a16="http://schemas.microsoft.com/office/drawing/2014/main" id="{70FA7691-AA99-400D-9D7E-CC95A99E6CB8}"/>
            </a:ext>
          </a:extLst>
        </xdr:cNvPr>
        <xdr:cNvSpPr txBox="1"/>
      </xdr:nvSpPr>
      <xdr:spPr>
        <a:xfrm>
          <a:off x="304800" y="3025776"/>
          <a:ext cx="1473200" cy="3905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088762C-50B8-4ED6-B0F1-2AD1154FF5BB}" type="TxLink">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pPr marL="0" indent="0"/>
            <a:t>3,791</a:t>
          </a:fld>
          <a:endPar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2</xdr:col>
      <xdr:colOff>1587</xdr:colOff>
      <xdr:row>21</xdr:row>
      <xdr:rowOff>19051</xdr:rowOff>
    </xdr:from>
    <xdr:to>
      <xdr:col>2</xdr:col>
      <xdr:colOff>181292</xdr:colOff>
      <xdr:row>21</xdr:row>
      <xdr:rowOff>197345</xdr:rowOff>
    </xdr:to>
    <xdr:pic>
      <xdr:nvPicPr>
        <xdr:cNvPr id="19" name="Graphic 18">
          <a:extLst>
            <a:ext uri="{FF2B5EF4-FFF2-40B4-BE49-F238E27FC236}">
              <a16:creationId xmlns:a16="http://schemas.microsoft.com/office/drawing/2014/main" id="{306A44FA-ECD9-4016-B8F6-3E0529D4F71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80987" y="3752851"/>
          <a:ext cx="179705" cy="179705"/>
        </a:xfrm>
        <a:prstGeom prst="rect">
          <a:avLst/>
        </a:prstGeom>
      </xdr:spPr>
    </xdr:pic>
    <xdr:clientData/>
  </xdr:twoCellAnchor>
  <xdr:twoCellAnchor>
    <xdr:from>
      <xdr:col>2</xdr:col>
      <xdr:colOff>190500</xdr:colOff>
      <xdr:row>21</xdr:row>
      <xdr:rowOff>0</xdr:rowOff>
    </xdr:from>
    <xdr:to>
      <xdr:col>4</xdr:col>
      <xdr:colOff>244475</xdr:colOff>
      <xdr:row>22</xdr:row>
      <xdr:rowOff>47626</xdr:rowOff>
    </xdr:to>
    <xdr:sp macro="" textlink="">
      <xdr:nvSpPr>
        <xdr:cNvPr id="20" name="TextBox 19">
          <a:extLst>
            <a:ext uri="{FF2B5EF4-FFF2-40B4-BE49-F238E27FC236}">
              <a16:creationId xmlns:a16="http://schemas.microsoft.com/office/drawing/2014/main" id="{25A7FF32-1310-432D-9155-C5033CF01D19}"/>
            </a:ext>
          </a:extLst>
        </xdr:cNvPr>
        <xdr:cNvSpPr txBox="1"/>
      </xdr:nvSpPr>
      <xdr:spPr>
        <a:xfrm>
          <a:off x="469900" y="37338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25400</xdr:colOff>
      <xdr:row>22</xdr:row>
      <xdr:rowOff>3176</xdr:rowOff>
    </xdr:from>
    <xdr:to>
      <xdr:col>3</xdr:col>
      <xdr:colOff>266700</xdr:colOff>
      <xdr:row>24</xdr:row>
      <xdr:rowOff>63500</xdr:rowOff>
    </xdr:to>
    <xdr:sp macro="" textlink="Calculations!$AB$25">
      <xdr:nvSpPr>
        <xdr:cNvPr id="21" name="TextBox 20">
          <a:extLst>
            <a:ext uri="{FF2B5EF4-FFF2-40B4-BE49-F238E27FC236}">
              <a16:creationId xmlns:a16="http://schemas.microsoft.com/office/drawing/2014/main" id="{D022A85E-DDD9-4DD3-9FC7-2C3A4D571A1B}"/>
            </a:ext>
          </a:extLst>
        </xdr:cNvPr>
        <xdr:cNvSpPr txBox="1"/>
      </xdr:nvSpPr>
      <xdr:spPr>
        <a:xfrm>
          <a:off x="304800" y="3914776"/>
          <a:ext cx="1574800" cy="415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601795D-9117-4A40-BDA7-826875639717}" type="TxLink">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pPr marL="0" indent="0"/>
            <a:t>$6.68 m</a:t>
          </a:fld>
          <a:endPar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2</xdr:col>
      <xdr:colOff>1587</xdr:colOff>
      <xdr:row>26</xdr:row>
      <xdr:rowOff>19051</xdr:rowOff>
    </xdr:from>
    <xdr:to>
      <xdr:col>2</xdr:col>
      <xdr:colOff>181292</xdr:colOff>
      <xdr:row>27</xdr:row>
      <xdr:rowOff>13902</xdr:rowOff>
    </xdr:to>
    <xdr:pic>
      <xdr:nvPicPr>
        <xdr:cNvPr id="25" name="Graphic 24">
          <a:extLst>
            <a:ext uri="{FF2B5EF4-FFF2-40B4-BE49-F238E27FC236}">
              <a16:creationId xmlns:a16="http://schemas.microsoft.com/office/drawing/2014/main" id="{FCB4AE50-B515-4431-B66E-306C61C136A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280987" y="4641851"/>
          <a:ext cx="179705" cy="179705"/>
        </a:xfrm>
        <a:prstGeom prst="rect">
          <a:avLst/>
        </a:prstGeom>
      </xdr:spPr>
    </xdr:pic>
    <xdr:clientData/>
  </xdr:twoCellAnchor>
  <xdr:twoCellAnchor>
    <xdr:from>
      <xdr:col>2</xdr:col>
      <xdr:colOff>190500</xdr:colOff>
      <xdr:row>26</xdr:row>
      <xdr:rowOff>0</xdr:rowOff>
    </xdr:from>
    <xdr:to>
      <xdr:col>4</xdr:col>
      <xdr:colOff>244475</xdr:colOff>
      <xdr:row>27</xdr:row>
      <xdr:rowOff>47626</xdr:rowOff>
    </xdr:to>
    <xdr:sp macro="" textlink="">
      <xdr:nvSpPr>
        <xdr:cNvPr id="26" name="TextBox 25">
          <a:extLst>
            <a:ext uri="{FF2B5EF4-FFF2-40B4-BE49-F238E27FC236}">
              <a16:creationId xmlns:a16="http://schemas.microsoft.com/office/drawing/2014/main" id="{35465A5A-A41E-41D6-A37F-1BAE764107B8}"/>
            </a:ext>
          </a:extLst>
        </xdr:cNvPr>
        <xdr:cNvSpPr txBox="1"/>
      </xdr:nvSpPr>
      <xdr:spPr>
        <a:xfrm>
          <a:off x="469900" y="46228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25400</xdr:colOff>
      <xdr:row>27</xdr:row>
      <xdr:rowOff>3176</xdr:rowOff>
    </xdr:from>
    <xdr:to>
      <xdr:col>3</xdr:col>
      <xdr:colOff>234950</xdr:colOff>
      <xdr:row>29</xdr:row>
      <xdr:rowOff>76200</xdr:rowOff>
    </xdr:to>
    <xdr:sp macro="" textlink="Calculations!$AB$26">
      <xdr:nvSpPr>
        <xdr:cNvPr id="27" name="TextBox 26">
          <a:extLst>
            <a:ext uri="{FF2B5EF4-FFF2-40B4-BE49-F238E27FC236}">
              <a16:creationId xmlns:a16="http://schemas.microsoft.com/office/drawing/2014/main" id="{83A00BDD-D3D7-412D-8F98-AE3CB1214D9E}"/>
            </a:ext>
          </a:extLst>
        </xdr:cNvPr>
        <xdr:cNvSpPr txBox="1"/>
      </xdr:nvSpPr>
      <xdr:spPr>
        <a:xfrm>
          <a:off x="304800" y="4803776"/>
          <a:ext cx="1543050" cy="4286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0AD4605-4452-4265-9054-D2B380306D50}" type="TxLink">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pPr marL="0" indent="0"/>
            <a:t>$15.02 m</a:t>
          </a:fld>
          <a:endPar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2</xdr:col>
      <xdr:colOff>1587</xdr:colOff>
      <xdr:row>31</xdr:row>
      <xdr:rowOff>31751</xdr:rowOff>
    </xdr:from>
    <xdr:to>
      <xdr:col>2</xdr:col>
      <xdr:colOff>181292</xdr:colOff>
      <xdr:row>32</xdr:row>
      <xdr:rowOff>16016</xdr:rowOff>
    </xdr:to>
    <xdr:pic>
      <xdr:nvPicPr>
        <xdr:cNvPr id="28" name="Graphic 27">
          <a:extLst>
            <a:ext uri="{FF2B5EF4-FFF2-40B4-BE49-F238E27FC236}">
              <a16:creationId xmlns:a16="http://schemas.microsoft.com/office/drawing/2014/main" id="{74B5940A-46D7-49C1-A232-0E9C7CEA502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280987" y="5543551"/>
          <a:ext cx="179705" cy="179705"/>
        </a:xfrm>
        <a:prstGeom prst="rect">
          <a:avLst/>
        </a:prstGeom>
      </xdr:spPr>
    </xdr:pic>
    <xdr:clientData/>
  </xdr:twoCellAnchor>
  <xdr:twoCellAnchor>
    <xdr:from>
      <xdr:col>2</xdr:col>
      <xdr:colOff>190500</xdr:colOff>
      <xdr:row>31</xdr:row>
      <xdr:rowOff>12700</xdr:rowOff>
    </xdr:from>
    <xdr:to>
      <xdr:col>4</xdr:col>
      <xdr:colOff>244475</xdr:colOff>
      <xdr:row>32</xdr:row>
      <xdr:rowOff>60326</xdr:rowOff>
    </xdr:to>
    <xdr:sp macro="" textlink="">
      <xdr:nvSpPr>
        <xdr:cNvPr id="29" name="TextBox 28">
          <a:extLst>
            <a:ext uri="{FF2B5EF4-FFF2-40B4-BE49-F238E27FC236}">
              <a16:creationId xmlns:a16="http://schemas.microsoft.com/office/drawing/2014/main" id="{B8B6DC97-241C-4759-9512-267E1072D20E}"/>
            </a:ext>
          </a:extLst>
        </xdr:cNvPr>
        <xdr:cNvSpPr txBox="1"/>
      </xdr:nvSpPr>
      <xdr:spPr>
        <a:xfrm>
          <a:off x="469900" y="55245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25400</xdr:colOff>
      <xdr:row>32</xdr:row>
      <xdr:rowOff>15876</xdr:rowOff>
    </xdr:from>
    <xdr:to>
      <xdr:col>2</xdr:col>
      <xdr:colOff>1314450</xdr:colOff>
      <xdr:row>34</xdr:row>
      <xdr:rowOff>101600</xdr:rowOff>
    </xdr:to>
    <xdr:sp macro="" textlink="Calculations!$AB$27">
      <xdr:nvSpPr>
        <xdr:cNvPr id="30" name="TextBox 29">
          <a:extLst>
            <a:ext uri="{FF2B5EF4-FFF2-40B4-BE49-F238E27FC236}">
              <a16:creationId xmlns:a16="http://schemas.microsoft.com/office/drawing/2014/main" id="{072B71CA-F249-4EA1-82F3-377DB91FC4D3}"/>
            </a:ext>
          </a:extLst>
        </xdr:cNvPr>
        <xdr:cNvSpPr txBox="1"/>
      </xdr:nvSpPr>
      <xdr:spPr>
        <a:xfrm>
          <a:off x="304800" y="5705476"/>
          <a:ext cx="1289050" cy="4413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ACB4F2E-9042-4021-95E7-F33549874B8A}" type="TxLink">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pPr marL="0" indent="0"/>
            <a:t>69.2%</a:t>
          </a:fld>
          <a:endPar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endParaRPr>
        </a:p>
      </xdr:txBody>
    </xdr:sp>
    <xdr:clientData/>
  </xdr:twoCellAnchor>
  <xdr:twoCellAnchor>
    <xdr:from>
      <xdr:col>2</xdr:col>
      <xdr:colOff>57150</xdr:colOff>
      <xdr:row>9</xdr:row>
      <xdr:rowOff>76200</xdr:rowOff>
    </xdr:from>
    <xdr:to>
      <xdr:col>4</xdr:col>
      <xdr:colOff>273050</xdr:colOff>
      <xdr:row>10</xdr:row>
      <xdr:rowOff>120650</xdr:rowOff>
    </xdr:to>
    <xdr:sp macro="" textlink="Calculations!$AC$22">
      <xdr:nvSpPr>
        <xdr:cNvPr id="36" name="TextBox 35">
          <a:extLst>
            <a:ext uri="{FF2B5EF4-FFF2-40B4-BE49-F238E27FC236}">
              <a16:creationId xmlns:a16="http://schemas.microsoft.com/office/drawing/2014/main" id="{76F6ABAE-A305-46BE-A70F-6A2642102AC6}"/>
            </a:ext>
          </a:extLst>
        </xdr:cNvPr>
        <xdr:cNvSpPr txBox="1"/>
      </xdr:nvSpPr>
      <xdr:spPr>
        <a:xfrm>
          <a:off x="336550" y="16764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BBC67DE-8A81-4F40-8083-2D7A02CE24FC}" type="TxLink">
            <a:rPr lang="en-US" sz="1100" b="0" i="1" u="none" strike="noStrike">
              <a:solidFill>
                <a:schemeClr val="accent2"/>
              </a:solidFill>
              <a:latin typeface="Barlow Condensed SemiBold" panose="00000706000000000000" pitchFamily="2" charset="0"/>
              <a:ea typeface="+mn-ea"/>
              <a:cs typeface="Arial"/>
            </a:rPr>
            <a:pPr marL="0" indent="0"/>
            <a:t>$10.74 m</a:t>
          </a:fld>
          <a:endParaRPr lang="en-US" sz="4000" i="1">
            <a:solidFill>
              <a:schemeClr val="accent2"/>
            </a:solidFill>
            <a:latin typeface="Barlow Condensed SemiBold" panose="00000706000000000000" pitchFamily="2" charset="0"/>
            <a:ea typeface="+mn-ea"/>
            <a:cs typeface="+mn-cs"/>
          </a:endParaRPr>
        </a:p>
      </xdr:txBody>
    </xdr:sp>
    <xdr:clientData/>
  </xdr:twoCellAnchor>
  <xdr:twoCellAnchor>
    <xdr:from>
      <xdr:col>2</xdr:col>
      <xdr:colOff>38100</xdr:colOff>
      <xdr:row>14</xdr:row>
      <xdr:rowOff>76200</xdr:rowOff>
    </xdr:from>
    <xdr:to>
      <xdr:col>4</xdr:col>
      <xdr:colOff>254000</xdr:colOff>
      <xdr:row>15</xdr:row>
      <xdr:rowOff>120650</xdr:rowOff>
    </xdr:to>
    <xdr:sp macro="" textlink="Calculations!$AC$23">
      <xdr:nvSpPr>
        <xdr:cNvPr id="37" name="TextBox 36">
          <a:extLst>
            <a:ext uri="{FF2B5EF4-FFF2-40B4-BE49-F238E27FC236}">
              <a16:creationId xmlns:a16="http://schemas.microsoft.com/office/drawing/2014/main" id="{29822BEE-FF11-44E9-8993-BF5E7C4BFA62}"/>
            </a:ext>
          </a:extLst>
        </xdr:cNvPr>
        <xdr:cNvSpPr txBox="1"/>
      </xdr:nvSpPr>
      <xdr:spPr>
        <a:xfrm>
          <a:off x="317500" y="25654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BEE2A70-E547-4262-9F24-9897106831C4}" type="TxLink">
            <a:rPr lang="en-US" sz="1100" b="0" i="1" u="none" strike="noStrike">
              <a:solidFill>
                <a:schemeClr val="accent2"/>
              </a:solidFill>
              <a:latin typeface="Barlow Condensed SemiBold" panose="00000706000000000000" pitchFamily="2" charset="0"/>
              <a:ea typeface="+mn-ea"/>
              <a:cs typeface="Arial"/>
            </a:rPr>
            <a:pPr marL="0" indent="0"/>
            <a:t>680.4 k</a:t>
          </a:fld>
          <a:endParaRPr lang="en-US" sz="1100" b="0" i="1" u="none" strike="noStrike">
            <a:solidFill>
              <a:schemeClr val="accent2"/>
            </a:solidFill>
            <a:latin typeface="Barlow Condensed SemiBold" panose="00000706000000000000" pitchFamily="2" charset="0"/>
            <a:ea typeface="+mn-ea"/>
            <a:cs typeface="Arial"/>
          </a:endParaRPr>
        </a:p>
      </xdr:txBody>
    </xdr:sp>
    <xdr:clientData/>
  </xdr:twoCellAnchor>
  <xdr:twoCellAnchor>
    <xdr:from>
      <xdr:col>2</xdr:col>
      <xdr:colOff>19050</xdr:colOff>
      <xdr:row>19</xdr:row>
      <xdr:rowOff>76200</xdr:rowOff>
    </xdr:from>
    <xdr:to>
      <xdr:col>4</xdr:col>
      <xdr:colOff>234950</xdr:colOff>
      <xdr:row>20</xdr:row>
      <xdr:rowOff>120650</xdr:rowOff>
    </xdr:to>
    <xdr:sp macro="" textlink="Calculations!$AC$24">
      <xdr:nvSpPr>
        <xdr:cNvPr id="38" name="TextBox 37">
          <a:extLst>
            <a:ext uri="{FF2B5EF4-FFF2-40B4-BE49-F238E27FC236}">
              <a16:creationId xmlns:a16="http://schemas.microsoft.com/office/drawing/2014/main" id="{574C4D68-E693-41F6-8016-F156461E6FB1}"/>
            </a:ext>
          </a:extLst>
        </xdr:cNvPr>
        <xdr:cNvSpPr txBox="1"/>
      </xdr:nvSpPr>
      <xdr:spPr>
        <a:xfrm>
          <a:off x="298450" y="34544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91D2D51-9CC4-43DB-A0A7-A3797FA06A8C}" type="TxLink">
            <a:rPr lang="en-US" sz="1100" b="0" i="1" u="none" strike="noStrike">
              <a:solidFill>
                <a:schemeClr val="accent2"/>
              </a:solidFill>
              <a:latin typeface="Barlow Condensed SemiBold" panose="00000706000000000000" pitchFamily="2" charset="0"/>
              <a:ea typeface="+mn-ea"/>
              <a:cs typeface="Arial"/>
            </a:rPr>
            <a:pPr marL="0" indent="0"/>
            <a:t>1,897</a:t>
          </a:fld>
          <a:endParaRPr lang="en-US" sz="1100" b="0" i="1" u="none" strike="noStrike">
            <a:solidFill>
              <a:schemeClr val="accent2"/>
            </a:solidFill>
            <a:latin typeface="Barlow Condensed SemiBold" panose="00000706000000000000" pitchFamily="2" charset="0"/>
            <a:ea typeface="+mn-ea"/>
            <a:cs typeface="Arial"/>
          </a:endParaRPr>
        </a:p>
      </xdr:txBody>
    </xdr:sp>
    <xdr:clientData/>
  </xdr:twoCellAnchor>
  <xdr:twoCellAnchor>
    <xdr:from>
      <xdr:col>2</xdr:col>
      <xdr:colOff>31750</xdr:colOff>
      <xdr:row>24</xdr:row>
      <xdr:rowOff>63500</xdr:rowOff>
    </xdr:from>
    <xdr:to>
      <xdr:col>4</xdr:col>
      <xdr:colOff>247650</xdr:colOff>
      <xdr:row>25</xdr:row>
      <xdr:rowOff>107950</xdr:rowOff>
    </xdr:to>
    <xdr:sp macro="" textlink="Calculations!$AC$25">
      <xdr:nvSpPr>
        <xdr:cNvPr id="39" name="TextBox 38">
          <a:extLst>
            <a:ext uri="{FF2B5EF4-FFF2-40B4-BE49-F238E27FC236}">
              <a16:creationId xmlns:a16="http://schemas.microsoft.com/office/drawing/2014/main" id="{7388363F-35B8-41B3-8781-6FB4C685837E}"/>
            </a:ext>
          </a:extLst>
        </xdr:cNvPr>
        <xdr:cNvSpPr txBox="1"/>
      </xdr:nvSpPr>
      <xdr:spPr>
        <a:xfrm>
          <a:off x="311150" y="43307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81A54BD-51AE-4BA3-A6C4-2C6808F878BB}" type="TxLink">
            <a:rPr lang="en-US" sz="1100" b="0" i="1" u="none" strike="noStrike">
              <a:solidFill>
                <a:schemeClr val="accent2"/>
              </a:solidFill>
              <a:latin typeface="Barlow Condensed SemiBold" panose="00000706000000000000" pitchFamily="2" charset="0"/>
              <a:ea typeface="+mn-ea"/>
              <a:cs typeface="Arial"/>
            </a:rPr>
            <a:pPr marL="0" indent="0"/>
            <a:t>$3.33 m</a:t>
          </a:fld>
          <a:endParaRPr lang="en-US" sz="1100" b="0" i="1" u="none" strike="noStrike">
            <a:solidFill>
              <a:schemeClr val="accent2"/>
            </a:solidFill>
            <a:latin typeface="Barlow Condensed SemiBold" panose="00000706000000000000" pitchFamily="2" charset="0"/>
            <a:ea typeface="+mn-ea"/>
            <a:cs typeface="Arial"/>
          </a:endParaRPr>
        </a:p>
      </xdr:txBody>
    </xdr:sp>
    <xdr:clientData/>
  </xdr:twoCellAnchor>
  <xdr:twoCellAnchor>
    <xdr:from>
      <xdr:col>2</xdr:col>
      <xdr:colOff>82550</xdr:colOff>
      <xdr:row>29</xdr:row>
      <xdr:rowOff>50800</xdr:rowOff>
    </xdr:from>
    <xdr:to>
      <xdr:col>4</xdr:col>
      <xdr:colOff>298450</xdr:colOff>
      <xdr:row>30</xdr:row>
      <xdr:rowOff>95250</xdr:rowOff>
    </xdr:to>
    <xdr:sp macro="" textlink="Calculations!$AC$26">
      <xdr:nvSpPr>
        <xdr:cNvPr id="40" name="TextBox 39">
          <a:extLst>
            <a:ext uri="{FF2B5EF4-FFF2-40B4-BE49-F238E27FC236}">
              <a16:creationId xmlns:a16="http://schemas.microsoft.com/office/drawing/2014/main" id="{06B7F008-0640-4047-8016-73D53A5A57F7}"/>
            </a:ext>
          </a:extLst>
        </xdr:cNvPr>
        <xdr:cNvSpPr txBox="1"/>
      </xdr:nvSpPr>
      <xdr:spPr>
        <a:xfrm>
          <a:off x="361950" y="52070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2AF4B3D-2EDC-4964-8239-B11A29D20FE1}" type="TxLink">
            <a:rPr lang="en-US" sz="1100" b="0" i="1" u="none" strike="noStrike">
              <a:solidFill>
                <a:schemeClr val="accent2"/>
              </a:solidFill>
              <a:latin typeface="Barlow Condensed SemiBold" panose="00000706000000000000" pitchFamily="2" charset="0"/>
              <a:ea typeface="+mn-ea"/>
              <a:cs typeface="Arial"/>
            </a:rPr>
            <a:pPr marL="0" indent="0"/>
            <a:t>$7.41 m</a:t>
          </a:fld>
          <a:endParaRPr lang="en-US" sz="1100" b="0" i="1" u="none" strike="noStrike">
            <a:solidFill>
              <a:schemeClr val="accent2"/>
            </a:solidFill>
            <a:latin typeface="Barlow Condensed SemiBold" panose="00000706000000000000" pitchFamily="2" charset="0"/>
            <a:ea typeface="+mn-ea"/>
            <a:cs typeface="Arial"/>
          </a:endParaRPr>
        </a:p>
      </xdr:txBody>
    </xdr:sp>
    <xdr:clientData/>
  </xdr:twoCellAnchor>
  <xdr:twoCellAnchor>
    <xdr:from>
      <xdr:col>2</xdr:col>
      <xdr:colOff>31750</xdr:colOff>
      <xdr:row>34</xdr:row>
      <xdr:rowOff>50800</xdr:rowOff>
    </xdr:from>
    <xdr:to>
      <xdr:col>4</xdr:col>
      <xdr:colOff>247650</xdr:colOff>
      <xdr:row>35</xdr:row>
      <xdr:rowOff>95250</xdr:rowOff>
    </xdr:to>
    <xdr:sp macro="" textlink="Calculations!$AC$27">
      <xdr:nvSpPr>
        <xdr:cNvPr id="41" name="TextBox 40">
          <a:extLst>
            <a:ext uri="{FF2B5EF4-FFF2-40B4-BE49-F238E27FC236}">
              <a16:creationId xmlns:a16="http://schemas.microsoft.com/office/drawing/2014/main" id="{DAC398DE-6330-4988-A675-253DC471504F}"/>
            </a:ext>
          </a:extLst>
        </xdr:cNvPr>
        <xdr:cNvSpPr txBox="1"/>
      </xdr:nvSpPr>
      <xdr:spPr>
        <a:xfrm>
          <a:off x="311150" y="6096000"/>
          <a:ext cx="1270000" cy="2222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31CD0BD5-6116-44A8-9538-05569A9369BE}" type="TxLink">
            <a:rPr lang="en-US" sz="1100" b="0" i="1" u="none" strike="noStrike">
              <a:solidFill>
                <a:schemeClr val="accent2"/>
              </a:solidFill>
              <a:latin typeface="Barlow Condensed SemiBold" panose="00000706000000000000" pitchFamily="2" charset="0"/>
              <a:ea typeface="+mn-ea"/>
              <a:cs typeface="Arial"/>
            </a:rPr>
            <a:pPr marL="0" indent="0"/>
            <a:t>69%</a:t>
          </a:fld>
          <a:endParaRPr lang="en-US" sz="1100" b="0" i="1" u="none" strike="noStrike">
            <a:solidFill>
              <a:schemeClr val="accent2"/>
            </a:solidFill>
            <a:latin typeface="Barlow Condensed SemiBold" panose="00000706000000000000" pitchFamily="2" charset="0"/>
            <a:ea typeface="+mn-ea"/>
            <a:cs typeface="Arial"/>
          </a:endParaRPr>
        </a:p>
      </xdr:txBody>
    </xdr:sp>
    <xdr:clientData/>
  </xdr:twoCellAnchor>
  <xdr:twoCellAnchor editAs="oneCell">
    <xdr:from>
      <xdr:col>22</xdr:col>
      <xdr:colOff>51594</xdr:colOff>
      <xdr:row>3</xdr:row>
      <xdr:rowOff>121709</xdr:rowOff>
    </xdr:from>
    <xdr:to>
      <xdr:col>22</xdr:col>
      <xdr:colOff>797718</xdr:colOff>
      <xdr:row>8</xdr:row>
      <xdr:rowOff>166689</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54145311-3F86-48C8-B982-3FAFCE2268A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720469" y="657490"/>
              <a:ext cx="746124" cy="973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xdr:colOff>
      <xdr:row>10</xdr:row>
      <xdr:rowOff>133350</xdr:rowOff>
    </xdr:from>
    <xdr:to>
      <xdr:col>4</xdr:col>
      <xdr:colOff>609600</xdr:colOff>
      <xdr:row>10</xdr:row>
      <xdr:rowOff>133350</xdr:rowOff>
    </xdr:to>
    <xdr:cxnSp macro="">
      <xdr:nvCxnSpPr>
        <xdr:cNvPr id="17" name="Straight Connector 16">
          <a:extLst>
            <a:ext uri="{FF2B5EF4-FFF2-40B4-BE49-F238E27FC236}">
              <a16:creationId xmlns:a16="http://schemas.microsoft.com/office/drawing/2014/main" id="{F1339AA6-3C18-8CF5-BDB2-CACD494A589B}"/>
            </a:ext>
          </a:extLst>
        </xdr:cNvPr>
        <xdr:cNvCxnSpPr/>
      </xdr:nvCxnSpPr>
      <xdr:spPr>
        <a:xfrm>
          <a:off x="336550" y="191135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15</xdr:row>
      <xdr:rowOff>133350</xdr:rowOff>
    </xdr:from>
    <xdr:to>
      <xdr:col>4</xdr:col>
      <xdr:colOff>577850</xdr:colOff>
      <xdr:row>15</xdr:row>
      <xdr:rowOff>133350</xdr:rowOff>
    </xdr:to>
    <xdr:cxnSp macro="">
      <xdr:nvCxnSpPr>
        <xdr:cNvPr id="35" name="Straight Connector 34">
          <a:extLst>
            <a:ext uri="{FF2B5EF4-FFF2-40B4-BE49-F238E27FC236}">
              <a16:creationId xmlns:a16="http://schemas.microsoft.com/office/drawing/2014/main" id="{E2B0F9A3-C772-4E63-BBD2-6E8223471CD2}"/>
            </a:ext>
          </a:extLst>
        </xdr:cNvPr>
        <xdr:cNvCxnSpPr/>
      </xdr:nvCxnSpPr>
      <xdr:spPr>
        <a:xfrm>
          <a:off x="304800" y="280035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20</xdr:row>
      <xdr:rowOff>107950</xdr:rowOff>
    </xdr:from>
    <xdr:to>
      <xdr:col>4</xdr:col>
      <xdr:colOff>565150</xdr:colOff>
      <xdr:row>20</xdr:row>
      <xdr:rowOff>107950</xdr:rowOff>
    </xdr:to>
    <xdr:cxnSp macro="">
      <xdr:nvCxnSpPr>
        <xdr:cNvPr id="42" name="Straight Connector 41">
          <a:extLst>
            <a:ext uri="{FF2B5EF4-FFF2-40B4-BE49-F238E27FC236}">
              <a16:creationId xmlns:a16="http://schemas.microsoft.com/office/drawing/2014/main" id="{CCDA67CC-3592-4356-A445-B4A5AF4A04EF}"/>
            </a:ext>
          </a:extLst>
        </xdr:cNvPr>
        <xdr:cNvCxnSpPr/>
      </xdr:nvCxnSpPr>
      <xdr:spPr>
        <a:xfrm>
          <a:off x="292100" y="366395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25</xdr:row>
      <xdr:rowOff>127000</xdr:rowOff>
    </xdr:from>
    <xdr:to>
      <xdr:col>4</xdr:col>
      <xdr:colOff>571500</xdr:colOff>
      <xdr:row>25</xdr:row>
      <xdr:rowOff>127000</xdr:rowOff>
    </xdr:to>
    <xdr:cxnSp macro="">
      <xdr:nvCxnSpPr>
        <xdr:cNvPr id="43" name="Straight Connector 42">
          <a:extLst>
            <a:ext uri="{FF2B5EF4-FFF2-40B4-BE49-F238E27FC236}">
              <a16:creationId xmlns:a16="http://schemas.microsoft.com/office/drawing/2014/main" id="{ACD573ED-9C96-4E0B-8009-D9EF7A2C3B41}"/>
            </a:ext>
          </a:extLst>
        </xdr:cNvPr>
        <xdr:cNvCxnSpPr/>
      </xdr:nvCxnSpPr>
      <xdr:spPr>
        <a:xfrm>
          <a:off x="298450" y="457200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30</xdr:row>
      <xdr:rowOff>127000</xdr:rowOff>
    </xdr:from>
    <xdr:to>
      <xdr:col>4</xdr:col>
      <xdr:colOff>615950</xdr:colOff>
      <xdr:row>30</xdr:row>
      <xdr:rowOff>127000</xdr:rowOff>
    </xdr:to>
    <xdr:cxnSp macro="">
      <xdr:nvCxnSpPr>
        <xdr:cNvPr id="44" name="Straight Connector 43">
          <a:extLst>
            <a:ext uri="{FF2B5EF4-FFF2-40B4-BE49-F238E27FC236}">
              <a16:creationId xmlns:a16="http://schemas.microsoft.com/office/drawing/2014/main" id="{37C72F5C-4B72-44E8-B17F-F0F8D137E6F1}"/>
            </a:ext>
          </a:extLst>
        </xdr:cNvPr>
        <xdr:cNvCxnSpPr/>
      </xdr:nvCxnSpPr>
      <xdr:spPr>
        <a:xfrm>
          <a:off x="342900" y="546100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31750</xdr:colOff>
      <xdr:row>35</xdr:row>
      <xdr:rowOff>101600</xdr:rowOff>
    </xdr:from>
    <xdr:to>
      <xdr:col>4</xdr:col>
      <xdr:colOff>584200</xdr:colOff>
      <xdr:row>35</xdr:row>
      <xdr:rowOff>101600</xdr:rowOff>
    </xdr:to>
    <xdr:cxnSp macro="">
      <xdr:nvCxnSpPr>
        <xdr:cNvPr id="45" name="Straight Connector 44">
          <a:extLst>
            <a:ext uri="{FF2B5EF4-FFF2-40B4-BE49-F238E27FC236}">
              <a16:creationId xmlns:a16="http://schemas.microsoft.com/office/drawing/2014/main" id="{3FCD003A-8935-42D7-89AC-97179F8F2A3B}"/>
            </a:ext>
          </a:extLst>
        </xdr:cNvPr>
        <xdr:cNvCxnSpPr/>
      </xdr:nvCxnSpPr>
      <xdr:spPr>
        <a:xfrm>
          <a:off x="311150" y="6324600"/>
          <a:ext cx="2101850" cy="0"/>
        </a:xfrm>
        <a:prstGeom prst="line">
          <a:avLst/>
        </a:prstGeom>
        <a:ln>
          <a:solidFill>
            <a:schemeClr val="bg1">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279400</xdr:colOff>
          <xdr:row>6</xdr:row>
          <xdr:rowOff>82550</xdr:rowOff>
        </xdr:from>
        <xdr:to>
          <xdr:col>6</xdr:col>
          <xdr:colOff>765537</xdr:colOff>
          <xdr:row>10</xdr:row>
          <xdr:rowOff>71120</xdr:rowOff>
        </xdr:to>
        <xdr:pic>
          <xdr:nvPicPr>
            <xdr:cNvPr id="14" name="Picture 13">
              <a:extLst>
                <a:ext uri="{FF2B5EF4-FFF2-40B4-BE49-F238E27FC236}">
                  <a16:creationId xmlns:a16="http://schemas.microsoft.com/office/drawing/2014/main" id="{7D5B50FC-365F-45A1-B21B-00257B8B39E7}"/>
                </a:ext>
              </a:extLst>
            </xdr:cNvPr>
            <xdr:cNvPicPr>
              <a:picLocks noChangeAspect="1" noChangeArrowheads="1"/>
              <a:extLst>
                <a:ext uri="{84589F7E-364E-4C9E-8A38-B11213B215E9}">
                  <a14:cameraTool cellRange="map.1" spid="_x0000_s4775"/>
                </a:ext>
              </a:extLst>
            </xdr:cNvPicPr>
          </xdr:nvPicPr>
          <xdr:blipFill>
            <a:blip xmlns:r="http://schemas.openxmlformats.org/officeDocument/2006/relationships" r:embed="rId12">
              <a:duotone>
                <a:schemeClr val="accent1">
                  <a:shade val="45000"/>
                  <a:satMod val="135000"/>
                </a:schemeClr>
                <a:prstClr val="white"/>
              </a:duotone>
              <a:lum bright="35000" contrast="60000"/>
            </a:blip>
            <a:srcRect/>
            <a:stretch>
              <a:fillRect/>
            </a:stretch>
          </xdr:blipFill>
          <xdr:spPr bwMode="auto">
            <a:xfrm>
              <a:off x="2825750" y="1149350"/>
              <a:ext cx="768359" cy="731520"/>
            </a:xfrm>
            <a:prstGeom prst="rect">
              <a:avLst/>
            </a:prstGeom>
            <a:noFill/>
            <a:effectLst>
              <a:glow rad="63500">
                <a:srgbClr val="00B0F0">
                  <a:alpha val="40000"/>
                </a:srgb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266700</xdr:colOff>
          <xdr:row>16</xdr:row>
          <xdr:rowOff>31750</xdr:rowOff>
        </xdr:from>
        <xdr:to>
          <xdr:col>6</xdr:col>
          <xdr:colOff>765458</xdr:colOff>
          <xdr:row>20</xdr:row>
          <xdr:rowOff>4445</xdr:rowOff>
        </xdr:to>
        <xdr:pic>
          <xdr:nvPicPr>
            <xdr:cNvPr id="15" name="Picture 14">
              <a:extLst>
                <a:ext uri="{FF2B5EF4-FFF2-40B4-BE49-F238E27FC236}">
                  <a16:creationId xmlns:a16="http://schemas.microsoft.com/office/drawing/2014/main" id="{D29B12A1-6DBD-41DC-B6DB-65979502C70A}"/>
                </a:ext>
              </a:extLst>
            </xdr:cNvPr>
            <xdr:cNvPicPr>
              <a:picLocks noChangeAspect="1" noChangeArrowheads="1"/>
              <a:extLst>
                <a:ext uri="{84589F7E-364E-4C9E-8A38-B11213B215E9}">
                  <a14:cameraTool cellRange="map.3" spid="_x0000_s4776"/>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813050" y="2876550"/>
              <a:ext cx="768280"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266700</xdr:colOff>
          <xdr:row>20</xdr:row>
          <xdr:rowOff>146050</xdr:rowOff>
        </xdr:from>
        <xdr:to>
          <xdr:col>6</xdr:col>
          <xdr:colOff>765458</xdr:colOff>
          <xdr:row>24</xdr:row>
          <xdr:rowOff>83907</xdr:rowOff>
        </xdr:to>
        <xdr:pic>
          <xdr:nvPicPr>
            <xdr:cNvPr id="16" name="Picture 15">
              <a:extLst>
                <a:ext uri="{FF2B5EF4-FFF2-40B4-BE49-F238E27FC236}">
                  <a16:creationId xmlns:a16="http://schemas.microsoft.com/office/drawing/2014/main" id="{D634787C-75DF-4E30-9263-734DF63FBE2D}"/>
                </a:ext>
              </a:extLst>
            </xdr:cNvPr>
            <xdr:cNvPicPr>
              <a:picLocks noChangeAspect="1" noChangeArrowheads="1"/>
              <a:extLst>
                <a:ext uri="{84589F7E-364E-4C9E-8A38-B11213B215E9}">
                  <a14:cameraTool cellRange="map.4" spid="_x0000_s4777"/>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813050" y="3702050"/>
              <a:ext cx="768280"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241300</xdr:colOff>
          <xdr:row>25</xdr:row>
          <xdr:rowOff>127000</xdr:rowOff>
        </xdr:from>
        <xdr:to>
          <xdr:col>6</xdr:col>
          <xdr:colOff>765458</xdr:colOff>
          <xdr:row>29</xdr:row>
          <xdr:rowOff>108514</xdr:rowOff>
        </xdr:to>
        <xdr:pic>
          <xdr:nvPicPr>
            <xdr:cNvPr id="18" name="Picture 17">
              <a:extLst>
                <a:ext uri="{FF2B5EF4-FFF2-40B4-BE49-F238E27FC236}">
                  <a16:creationId xmlns:a16="http://schemas.microsoft.com/office/drawing/2014/main" id="{D902A31A-985E-4EED-A524-337C2FC9179E}"/>
                </a:ext>
              </a:extLst>
            </xdr:cNvPr>
            <xdr:cNvPicPr>
              <a:picLocks noChangeAspect="1" noChangeArrowheads="1"/>
              <a:extLst>
                <a:ext uri="{84589F7E-364E-4C9E-8A38-B11213B215E9}">
                  <a14:cameraTool cellRange="map.5" spid="_x0000_s4778"/>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787650" y="4572000"/>
              <a:ext cx="768280"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298450</xdr:colOff>
          <xdr:row>11</xdr:row>
          <xdr:rowOff>12700</xdr:rowOff>
        </xdr:from>
        <xdr:to>
          <xdr:col>6</xdr:col>
          <xdr:colOff>765458</xdr:colOff>
          <xdr:row>14</xdr:row>
          <xdr:rowOff>175895</xdr:rowOff>
        </xdr:to>
        <xdr:pic>
          <xdr:nvPicPr>
            <xdr:cNvPr id="22" name="Picture 21">
              <a:extLst>
                <a:ext uri="{FF2B5EF4-FFF2-40B4-BE49-F238E27FC236}">
                  <a16:creationId xmlns:a16="http://schemas.microsoft.com/office/drawing/2014/main" id="{D7758D2C-B556-43CF-817E-B3316B33630F}"/>
                </a:ext>
              </a:extLst>
            </xdr:cNvPr>
            <xdr:cNvPicPr>
              <a:picLocks noChangeAspect="1" noChangeArrowheads="1"/>
              <a:extLst>
                <a:ext uri="{84589F7E-364E-4C9E-8A38-B11213B215E9}">
                  <a14:cameraTool cellRange="map.2" spid="_x0000_s4779"/>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844800" y="1968500"/>
              <a:ext cx="768280"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234950</xdr:colOff>
          <xdr:row>31</xdr:row>
          <xdr:rowOff>0</xdr:rowOff>
        </xdr:from>
        <xdr:to>
          <xdr:col>6</xdr:col>
          <xdr:colOff>765458</xdr:colOff>
          <xdr:row>34</xdr:row>
          <xdr:rowOff>143793</xdr:rowOff>
        </xdr:to>
        <xdr:pic>
          <xdr:nvPicPr>
            <xdr:cNvPr id="23" name="Picture 22">
              <a:extLst>
                <a:ext uri="{FF2B5EF4-FFF2-40B4-BE49-F238E27FC236}">
                  <a16:creationId xmlns:a16="http://schemas.microsoft.com/office/drawing/2014/main" id="{FB7E99A3-D38A-4FC7-B89C-0B817140B630}"/>
                </a:ext>
              </a:extLst>
            </xdr:cNvPr>
            <xdr:cNvPicPr>
              <a:picLocks noChangeAspect="1" noChangeArrowheads="1"/>
              <a:extLst>
                <a:ext uri="{84589F7E-364E-4C9E-8A38-B11213B215E9}">
                  <a14:cameraTool cellRange="map.6" spid="_x0000_s4780"/>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781300" y="5511800"/>
              <a:ext cx="768280" cy="7315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5</xdr:col>
      <xdr:colOff>127705</xdr:colOff>
      <xdr:row>4</xdr:row>
      <xdr:rowOff>167216</xdr:rowOff>
    </xdr:from>
    <xdr:to>
      <xdr:col>6</xdr:col>
      <xdr:colOff>173425</xdr:colOff>
      <xdr:row>6</xdr:row>
      <xdr:rowOff>86389</xdr:rowOff>
    </xdr:to>
    <xdr:pic>
      <xdr:nvPicPr>
        <xdr:cNvPr id="24" name="Graphic 23" descr="Earth globe: Americas with solid fill">
          <a:extLst>
            <a:ext uri="{FF2B5EF4-FFF2-40B4-BE49-F238E27FC236}">
              <a16:creationId xmlns:a16="http://schemas.microsoft.com/office/drawing/2014/main" id="{BB517F58-3D6A-4859-AF72-99B7C48A4417}"/>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681816" y="872772"/>
          <a:ext cx="271498" cy="271950"/>
        </a:xfrm>
        <a:prstGeom prst="rect">
          <a:avLst/>
        </a:prstGeom>
      </xdr:spPr>
    </xdr:pic>
    <xdr:clientData/>
  </xdr:twoCellAnchor>
  <xdr:twoCellAnchor>
    <xdr:from>
      <xdr:col>6</xdr:col>
      <xdr:colOff>202495</xdr:colOff>
      <xdr:row>5</xdr:row>
      <xdr:rowOff>13407</xdr:rowOff>
    </xdr:from>
    <xdr:to>
      <xdr:col>9</xdr:col>
      <xdr:colOff>243770</xdr:colOff>
      <xdr:row>6</xdr:row>
      <xdr:rowOff>59621</xdr:rowOff>
    </xdr:to>
    <xdr:sp macro="" textlink="Calculations!AF71">
      <xdr:nvSpPr>
        <xdr:cNvPr id="31" name="TextBox 30">
          <a:extLst>
            <a:ext uri="{FF2B5EF4-FFF2-40B4-BE49-F238E27FC236}">
              <a16:creationId xmlns:a16="http://schemas.microsoft.com/office/drawing/2014/main" id="{60CDAC20-E0DF-481A-9696-8AFB7AC89B06}"/>
            </a:ext>
          </a:extLst>
        </xdr:cNvPr>
        <xdr:cNvSpPr txBox="1"/>
      </xdr:nvSpPr>
      <xdr:spPr>
        <a:xfrm>
          <a:off x="2982384" y="895351"/>
          <a:ext cx="1600553" cy="22260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28F6AD3A-F51F-41FB-8CF6-C14456A6B749}" type="TxLink">
            <a:rPr lang="en-US" sz="1100" b="0" i="0" u="none" strike="noStrike">
              <a:solidFill>
                <a:schemeClr val="tx1">
                  <a:lumMod val="50000"/>
                  <a:lumOff val="50000"/>
                </a:schemeClr>
              </a:solidFill>
              <a:effectLst/>
              <a:latin typeface="Arial"/>
              <a:ea typeface="+mn-ea"/>
              <a:cs typeface="Arial"/>
            </a:rPr>
            <a:pPr marL="0" indent="0"/>
            <a:t>COUNTRY SALES</a:t>
          </a:fld>
          <a:endParaRPr lang="en-US" sz="1000">
            <a:solidFill>
              <a:schemeClr val="tx1">
                <a:lumMod val="50000"/>
                <a:lumOff val="50000"/>
              </a:schemeClr>
            </a:solidFill>
            <a:effectLst/>
            <a:latin typeface="+mn-lt"/>
            <a:ea typeface="+mn-ea"/>
            <a:cs typeface="+mn-cs"/>
          </a:endParaRPr>
        </a:p>
      </xdr:txBody>
    </xdr:sp>
    <xdr:clientData/>
  </xdr:twoCellAnchor>
  <xdr:twoCellAnchor>
    <xdr:from>
      <xdr:col>8</xdr:col>
      <xdr:colOff>203199</xdr:colOff>
      <xdr:row>4</xdr:row>
      <xdr:rowOff>61382</xdr:rowOff>
    </xdr:from>
    <xdr:to>
      <xdr:col>14</xdr:col>
      <xdr:colOff>388056</xdr:colOff>
      <xdr:row>18</xdr:row>
      <xdr:rowOff>56444</xdr:rowOff>
    </xdr:to>
    <xdr:grpSp>
      <xdr:nvGrpSpPr>
        <xdr:cNvPr id="49" name="Group 48">
          <a:extLst>
            <a:ext uri="{FF2B5EF4-FFF2-40B4-BE49-F238E27FC236}">
              <a16:creationId xmlns:a16="http://schemas.microsoft.com/office/drawing/2014/main" id="{AB714A5D-D22A-79B1-774F-0302C2B11E52}"/>
            </a:ext>
          </a:extLst>
        </xdr:cNvPr>
        <xdr:cNvGrpSpPr/>
      </xdr:nvGrpSpPr>
      <xdr:grpSpPr>
        <a:xfrm>
          <a:off x="4787105" y="775757"/>
          <a:ext cx="5125951" cy="2614437"/>
          <a:chOff x="4472907" y="1077383"/>
          <a:chExt cx="4356100" cy="2725561"/>
        </a:xfrm>
      </xdr:grpSpPr>
      <xdr:graphicFrame macro="">
        <xdr:nvGraphicFramePr>
          <xdr:cNvPr id="32" name="Chart 31">
            <a:extLst>
              <a:ext uri="{FF2B5EF4-FFF2-40B4-BE49-F238E27FC236}">
                <a16:creationId xmlns:a16="http://schemas.microsoft.com/office/drawing/2014/main" id="{BEE1B188-B454-4DB2-B9F8-45429529F896}"/>
              </a:ext>
            </a:extLst>
          </xdr:cNvPr>
          <xdr:cNvGraphicFramePr>
            <a:graphicFrameLocks/>
          </xdr:cNvGraphicFramePr>
        </xdr:nvGraphicFramePr>
        <xdr:xfrm>
          <a:off x="4472907" y="1077383"/>
          <a:ext cx="4356100" cy="2725561"/>
        </xdr:xfrm>
        <a:graphic>
          <a:graphicData uri="http://schemas.openxmlformats.org/drawingml/2006/chart">
            <c:chart xmlns:c="http://schemas.openxmlformats.org/drawingml/2006/chart" xmlns:r="http://schemas.openxmlformats.org/officeDocument/2006/relationships" r:id="rId20"/>
          </a:graphicData>
        </a:graphic>
      </xdr:graphicFrame>
      <xdr:cxnSp macro="">
        <xdr:nvCxnSpPr>
          <xdr:cNvPr id="46" name="Straight Connector 45">
            <a:extLst>
              <a:ext uri="{FF2B5EF4-FFF2-40B4-BE49-F238E27FC236}">
                <a16:creationId xmlns:a16="http://schemas.microsoft.com/office/drawing/2014/main" id="{05DDAF6C-0DA7-840F-C557-39B677ADEE1B}"/>
              </a:ext>
            </a:extLst>
          </xdr:cNvPr>
          <xdr:cNvCxnSpPr/>
        </xdr:nvCxnSpPr>
        <xdr:spPr>
          <a:xfrm>
            <a:off x="6034646" y="2011584"/>
            <a:ext cx="1385271" cy="906687"/>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 name="TextBox 32">
            <a:extLst>
              <a:ext uri="{FF2B5EF4-FFF2-40B4-BE49-F238E27FC236}">
                <a16:creationId xmlns:a16="http://schemas.microsoft.com/office/drawing/2014/main" id="{E3D23BF8-19BD-399F-BB25-DAD25294AA3E}"/>
              </a:ext>
            </a:extLst>
          </xdr:cNvPr>
          <xdr:cNvSpPr txBox="1"/>
        </xdr:nvSpPr>
        <xdr:spPr>
          <a:xfrm>
            <a:off x="7310614" y="2150534"/>
            <a:ext cx="930274" cy="634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05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grpSp>
    <xdr:clientData/>
  </xdr:twoCellAnchor>
  <xdr:twoCellAnchor>
    <xdr:from>
      <xdr:col>11</xdr:col>
      <xdr:colOff>543277</xdr:colOff>
      <xdr:row>9</xdr:row>
      <xdr:rowOff>137582</xdr:rowOff>
    </xdr:from>
    <xdr:to>
      <xdr:col>12</xdr:col>
      <xdr:colOff>430389</xdr:colOff>
      <xdr:row>12</xdr:row>
      <xdr:rowOff>116418</xdr:rowOff>
    </xdr:to>
    <xdr:sp macro="" textlink="">
      <xdr:nvSpPr>
        <xdr:cNvPr id="50" name="Oval 49">
          <a:extLst>
            <a:ext uri="{FF2B5EF4-FFF2-40B4-BE49-F238E27FC236}">
              <a16:creationId xmlns:a16="http://schemas.microsoft.com/office/drawing/2014/main" id="{5F6E391D-E52C-F750-EE0D-7ADA1A1AE82B}"/>
            </a:ext>
          </a:extLst>
        </xdr:cNvPr>
        <xdr:cNvSpPr/>
      </xdr:nvSpPr>
      <xdr:spPr>
        <a:xfrm>
          <a:off x="6817871" y="1780645"/>
          <a:ext cx="1125362" cy="514617"/>
        </a:xfrm>
        <a:prstGeom prst="ellipse">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600" b="1" cap="none" spc="0">
              <a:ln w="9525">
                <a:solidFill>
                  <a:srgbClr val="FFC000"/>
                </a:solidFill>
                <a:prstDash val="solid"/>
              </a:ln>
              <a:solidFill>
                <a:srgbClr val="FFC000"/>
              </a:solidFill>
              <a:effectLst/>
              <a:latin typeface="+mn-lt"/>
              <a:ea typeface="+mn-ea"/>
              <a:cs typeface="+mn-cs"/>
            </a:rPr>
            <a:t>Sales &amp; Profits by</a:t>
          </a:r>
          <a:r>
            <a:rPr lang="en-US" sz="600" b="1" cap="none" spc="0" baseline="0">
              <a:ln w="9525">
                <a:solidFill>
                  <a:srgbClr val="FFC000"/>
                </a:solidFill>
                <a:prstDash val="solid"/>
              </a:ln>
              <a:solidFill>
                <a:srgbClr val="FFC000"/>
              </a:solidFill>
              <a:effectLst/>
              <a:latin typeface="+mn-lt"/>
              <a:ea typeface="+mn-ea"/>
              <a:cs typeface="+mn-cs"/>
            </a:rPr>
            <a:t> Team</a:t>
          </a:r>
          <a:endParaRPr lang="en-US" sz="600" b="1" cap="none" spc="0">
            <a:ln w="9525">
              <a:solidFill>
                <a:srgbClr val="FFC000"/>
              </a:solidFill>
              <a:prstDash val="solid"/>
            </a:ln>
            <a:solidFill>
              <a:srgbClr val="FFC000"/>
            </a:solidFill>
            <a:effectLst/>
          </a:endParaRPr>
        </a:p>
      </xdr:txBody>
    </xdr:sp>
    <xdr:clientData/>
  </xdr:twoCellAnchor>
  <xdr:twoCellAnchor>
    <xdr:from>
      <xdr:col>14</xdr:col>
      <xdr:colOff>0</xdr:colOff>
      <xdr:row>20</xdr:row>
      <xdr:rowOff>0</xdr:rowOff>
    </xdr:from>
    <xdr:to>
      <xdr:col>17</xdr:col>
      <xdr:colOff>244475</xdr:colOff>
      <xdr:row>21</xdr:row>
      <xdr:rowOff>47626</xdr:rowOff>
    </xdr:to>
    <xdr:sp macro="" textlink="">
      <xdr:nvSpPr>
        <xdr:cNvPr id="52" name="TextBox 51">
          <a:extLst>
            <a:ext uri="{FF2B5EF4-FFF2-40B4-BE49-F238E27FC236}">
              <a16:creationId xmlns:a16="http://schemas.microsoft.com/office/drawing/2014/main" id="{C29D4115-F825-4870-8EAD-A0AC5558374F}"/>
            </a:ext>
          </a:extLst>
        </xdr:cNvPr>
        <xdr:cNvSpPr txBox="1"/>
      </xdr:nvSpPr>
      <xdr:spPr>
        <a:xfrm>
          <a:off x="9609667" y="3630083"/>
          <a:ext cx="1609725" cy="22754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Last 28 Days</a:t>
          </a:r>
        </a:p>
      </xdr:txBody>
    </xdr:sp>
    <xdr:clientData/>
  </xdr:twoCellAnchor>
  <xdr:twoCellAnchor editAs="absolute">
    <xdr:from>
      <xdr:col>17</xdr:col>
      <xdr:colOff>702468</xdr:colOff>
      <xdr:row>4</xdr:row>
      <xdr:rowOff>21164</xdr:rowOff>
    </xdr:from>
    <xdr:to>
      <xdr:col>18</xdr:col>
      <xdr:colOff>591396</xdr:colOff>
      <xdr:row>12</xdr:row>
      <xdr:rowOff>104561</xdr:rowOff>
    </xdr:to>
    <xdr:graphicFrame macro="">
      <xdr:nvGraphicFramePr>
        <xdr:cNvPr id="55" name="Chart 54">
          <a:extLst>
            <a:ext uri="{FF2B5EF4-FFF2-40B4-BE49-F238E27FC236}">
              <a16:creationId xmlns:a16="http://schemas.microsoft.com/office/drawing/2014/main" id="{88D0CD99-C037-4B94-AAAA-54644C0F3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1125803</xdr:colOff>
      <xdr:row>6</xdr:row>
      <xdr:rowOff>61384</xdr:rowOff>
    </xdr:from>
    <xdr:to>
      <xdr:col>18</xdr:col>
      <xdr:colOff>158750</xdr:colOff>
      <xdr:row>10</xdr:row>
      <xdr:rowOff>10583</xdr:rowOff>
    </xdr:to>
    <xdr:sp macro="" textlink="Calculations!$M$152">
      <xdr:nvSpPr>
        <xdr:cNvPr id="56" name="Oval 55">
          <a:extLst>
            <a:ext uri="{FF2B5EF4-FFF2-40B4-BE49-F238E27FC236}">
              <a16:creationId xmlns:a16="http://schemas.microsoft.com/office/drawing/2014/main" id="{EA59D30D-244C-4C1C-93F7-7F18A0710D06}"/>
            </a:ext>
          </a:extLst>
        </xdr:cNvPr>
        <xdr:cNvSpPr/>
      </xdr:nvSpPr>
      <xdr:spPr>
        <a:xfrm>
          <a:off x="12223752" y="1140884"/>
          <a:ext cx="698498" cy="700616"/>
        </a:xfrm>
        <a:prstGeom prst="ellipse">
          <a:avLst/>
        </a:prstGeom>
        <a:ln>
          <a:noFill/>
        </a:ln>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wrap="none" lIns="0" tIns="0" rIns="0" bIns="0" rtlCol="0" anchor="ctr"/>
        <a:lstStyle/>
        <a:p>
          <a:pPr algn="ctr"/>
          <a:fld id="{93C6B423-CB8A-4F4F-ACC4-FF864B2A2B81}" type="TxLink">
            <a:rPr lang="en-US" sz="1050" b="0" i="0" u="none" strike="noStrike">
              <a:solidFill>
                <a:schemeClr val="bg1"/>
              </a:solidFill>
              <a:latin typeface="Arial"/>
              <a:cs typeface="Arial"/>
            </a:rPr>
            <a:pPr algn="ctr"/>
            <a:t>69.0%</a:t>
          </a:fld>
          <a:endParaRPr lang="en-US" sz="900">
            <a:solidFill>
              <a:schemeClr val="bg1"/>
            </a:solidFill>
          </a:endParaRPr>
        </a:p>
      </xdr:txBody>
    </xdr:sp>
    <xdr:clientData/>
  </xdr:twoCellAnchor>
  <xdr:twoCellAnchor editAs="absolute">
    <xdr:from>
      <xdr:col>17</xdr:col>
      <xdr:colOff>1030551</xdr:colOff>
      <xdr:row>10</xdr:row>
      <xdr:rowOff>148166</xdr:rowOff>
    </xdr:from>
    <xdr:to>
      <xdr:col>18</xdr:col>
      <xdr:colOff>423334</xdr:colOff>
      <xdr:row>12</xdr:row>
      <xdr:rowOff>31749</xdr:rowOff>
    </xdr:to>
    <xdr:sp macro="" textlink="Calculations!T152">
      <xdr:nvSpPr>
        <xdr:cNvPr id="34" name="TextBox 33">
          <a:extLst>
            <a:ext uri="{FF2B5EF4-FFF2-40B4-BE49-F238E27FC236}">
              <a16:creationId xmlns:a16="http://schemas.microsoft.com/office/drawing/2014/main" id="{9B061F22-F09D-43D0-A684-BDA30E4BBE93}"/>
            </a:ext>
          </a:extLst>
        </xdr:cNvPr>
        <xdr:cNvSpPr txBox="1"/>
      </xdr:nvSpPr>
      <xdr:spPr>
        <a:xfrm>
          <a:off x="12128500" y="1979083"/>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FA4FFB41-5EB9-4928-ADC3-2B19A268E57D}" type="TxLink">
            <a:rPr lang="en-US" sz="1200" b="0" i="0" u="none" strike="noStrike">
              <a:solidFill>
                <a:schemeClr val="tx1">
                  <a:lumMod val="50000"/>
                  <a:lumOff val="50000"/>
                </a:schemeClr>
              </a:solidFill>
              <a:effectLst/>
              <a:latin typeface="+mj-lt"/>
              <a:ea typeface="+mn-ea"/>
              <a:cs typeface="Arial"/>
            </a:rPr>
            <a:pPr marL="0" indent="0"/>
            <a:t>$7.41/$10.74 m</a:t>
          </a:fld>
          <a:endParaRPr lang="en-US" sz="1200" b="0" i="0" u="none" strike="noStrike">
            <a:solidFill>
              <a:schemeClr val="tx1">
                <a:lumMod val="50000"/>
                <a:lumOff val="50000"/>
              </a:schemeClr>
            </a:solidFill>
            <a:effectLst/>
            <a:latin typeface="+mj-lt"/>
            <a:ea typeface="+mn-ea"/>
            <a:cs typeface="Arial"/>
          </a:endParaRPr>
        </a:p>
      </xdr:txBody>
    </xdr:sp>
    <xdr:clientData/>
  </xdr:twoCellAnchor>
  <xdr:twoCellAnchor editAs="absolute">
    <xdr:from>
      <xdr:col>17</xdr:col>
      <xdr:colOff>1013618</xdr:colOff>
      <xdr:row>2</xdr:row>
      <xdr:rowOff>35983</xdr:rowOff>
    </xdr:from>
    <xdr:to>
      <xdr:col>18</xdr:col>
      <xdr:colOff>406401</xdr:colOff>
      <xdr:row>3</xdr:row>
      <xdr:rowOff>99482</xdr:rowOff>
    </xdr:to>
    <xdr:sp macro="" textlink="Calculations!K152">
      <xdr:nvSpPr>
        <xdr:cNvPr id="53" name="TextBox 52">
          <a:extLst>
            <a:ext uri="{FF2B5EF4-FFF2-40B4-BE49-F238E27FC236}">
              <a16:creationId xmlns:a16="http://schemas.microsoft.com/office/drawing/2014/main" id="{E41B76E4-6079-4303-922E-47908AFD670C}"/>
            </a:ext>
          </a:extLst>
        </xdr:cNvPr>
        <xdr:cNvSpPr txBox="1"/>
      </xdr:nvSpPr>
      <xdr:spPr>
        <a:xfrm>
          <a:off x="12111567" y="395816"/>
          <a:ext cx="1058334" cy="24341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04B91087-6C61-4172-80BD-B44234849CDC}" type="TxLink">
            <a:rPr lang="en-US" sz="1600" b="0" i="0" u="none" strike="noStrike">
              <a:solidFill>
                <a:srgbClr val="FFC000"/>
              </a:solidFill>
              <a:effectLst/>
              <a:latin typeface="+mj-lt"/>
              <a:ea typeface="+mn-ea"/>
              <a:cs typeface="Arial"/>
            </a:rPr>
            <a:pPr marL="0" indent="0" algn="ctr"/>
            <a:t>Bars⏺️</a:t>
          </a:fld>
          <a:endParaRPr lang="en-US" sz="1600" b="0" i="0" u="none" strike="noStrike">
            <a:solidFill>
              <a:srgbClr val="FFC000"/>
            </a:solidFill>
            <a:effectLst/>
            <a:latin typeface="+mj-lt"/>
            <a:ea typeface="+mn-ea"/>
            <a:cs typeface="Arial"/>
          </a:endParaRPr>
        </a:p>
      </xdr:txBody>
    </xdr:sp>
    <xdr:clientData/>
  </xdr:twoCellAnchor>
  <xdr:twoCellAnchor editAs="absolute">
    <xdr:from>
      <xdr:col>18</xdr:col>
      <xdr:colOff>549005</xdr:colOff>
      <xdr:row>4</xdr:row>
      <xdr:rowOff>16667</xdr:rowOff>
    </xdr:from>
    <xdr:to>
      <xdr:col>20</xdr:col>
      <xdr:colOff>451160</xdr:colOff>
      <xdr:row>12</xdr:row>
      <xdr:rowOff>100064</xdr:rowOff>
    </xdr:to>
    <xdr:graphicFrame macro="">
      <xdr:nvGraphicFramePr>
        <xdr:cNvPr id="80" name="Chart 79">
          <a:extLst>
            <a:ext uri="{FF2B5EF4-FFF2-40B4-BE49-F238E27FC236}">
              <a16:creationId xmlns:a16="http://schemas.microsoft.com/office/drawing/2014/main" id="{466BA534-5911-4FE8-A75C-EF5B0E8AC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1628512</xdr:colOff>
      <xdr:row>6</xdr:row>
      <xdr:rowOff>56887</xdr:rowOff>
    </xdr:from>
    <xdr:to>
      <xdr:col>19</xdr:col>
      <xdr:colOff>488155</xdr:colOff>
      <xdr:row>10</xdr:row>
      <xdr:rowOff>25135</xdr:rowOff>
    </xdr:to>
    <xdr:sp macro="" textlink="Calculations!$M$153">
      <xdr:nvSpPr>
        <xdr:cNvPr id="81" name="Oval 80">
          <a:extLst>
            <a:ext uri="{FF2B5EF4-FFF2-40B4-BE49-F238E27FC236}">
              <a16:creationId xmlns:a16="http://schemas.microsoft.com/office/drawing/2014/main" id="{82C85BE7-DFFD-4757-B8BB-E783BEC58171}"/>
            </a:ext>
          </a:extLst>
        </xdr:cNvPr>
        <xdr:cNvSpPr/>
      </xdr:nvSpPr>
      <xdr:spPr>
        <a:xfrm>
          <a:off x="14344387" y="1128450"/>
          <a:ext cx="669394" cy="718341"/>
        </a:xfrm>
        <a:prstGeom prst="ellipse">
          <a:avLst/>
        </a:prstGeom>
        <a:ln>
          <a:noFill/>
        </a:ln>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wrap="none" lIns="0" tIns="0" rIns="0" bIns="0" rtlCol="0" anchor="ctr"/>
        <a:lstStyle/>
        <a:p>
          <a:pPr algn="ctr"/>
          <a:fld id="{63C35FEA-93DA-4509-8E1F-4E7ACA151423}" type="TxLink">
            <a:rPr lang="en-US" sz="1050" b="0" i="0" u="none" strike="noStrike">
              <a:solidFill>
                <a:schemeClr val="bg1"/>
              </a:solidFill>
              <a:latin typeface="Arial"/>
              <a:cs typeface="Arial"/>
            </a:rPr>
            <a:pPr algn="ctr"/>
            <a:t>60.3%</a:t>
          </a:fld>
          <a:endParaRPr lang="en-US" sz="600">
            <a:solidFill>
              <a:schemeClr val="bg1"/>
            </a:solidFill>
          </a:endParaRPr>
        </a:p>
      </xdr:txBody>
    </xdr:sp>
    <xdr:clientData/>
  </xdr:twoCellAnchor>
  <xdr:twoCellAnchor editAs="absolute">
    <xdr:from>
      <xdr:col>18</xdr:col>
      <xdr:colOff>803795</xdr:colOff>
      <xdr:row>10</xdr:row>
      <xdr:rowOff>149225</xdr:rowOff>
    </xdr:from>
    <xdr:to>
      <xdr:col>20</xdr:col>
      <xdr:colOff>207159</xdr:colOff>
      <xdr:row>12</xdr:row>
      <xdr:rowOff>34130</xdr:rowOff>
    </xdr:to>
    <xdr:sp macro="" textlink="Calculations!T153">
      <xdr:nvSpPr>
        <xdr:cNvPr id="82" name="TextBox 81">
          <a:extLst>
            <a:ext uri="{FF2B5EF4-FFF2-40B4-BE49-F238E27FC236}">
              <a16:creationId xmlns:a16="http://schemas.microsoft.com/office/drawing/2014/main" id="{8678BC19-45D5-4276-809C-5772B2FF1E96}"/>
            </a:ext>
          </a:extLst>
        </xdr:cNvPr>
        <xdr:cNvSpPr txBox="1"/>
      </xdr:nvSpPr>
      <xdr:spPr>
        <a:xfrm>
          <a:off x="13448233" y="1970881"/>
          <a:ext cx="2356114" cy="24209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7FED89C4-31C1-4C38-AEE5-CA39301DAEF8}" type="TxLink">
            <a:rPr lang="en-US" sz="1200" b="0" i="0" u="none" strike="noStrike">
              <a:solidFill>
                <a:schemeClr val="tx1">
                  <a:lumMod val="50000"/>
                  <a:lumOff val="50000"/>
                </a:schemeClr>
              </a:solidFill>
              <a:effectLst/>
              <a:latin typeface="+mj-lt"/>
              <a:ea typeface="+mn-ea"/>
              <a:cs typeface="Arial"/>
            </a:rPr>
            <a:pPr marL="0" indent="0" algn="ctr"/>
            <a:t>$4.27/$7.08 m</a:t>
          </a:fld>
          <a:endParaRPr lang="en-US" sz="1200" b="0" i="0" u="none" strike="noStrike">
            <a:solidFill>
              <a:schemeClr val="tx1">
                <a:lumMod val="50000"/>
                <a:lumOff val="50000"/>
              </a:schemeClr>
            </a:solidFill>
            <a:effectLst/>
            <a:latin typeface="+mj-lt"/>
            <a:ea typeface="+mn-ea"/>
            <a:cs typeface="Arial"/>
          </a:endParaRPr>
        </a:p>
      </xdr:txBody>
    </xdr:sp>
    <xdr:clientData/>
  </xdr:twoCellAnchor>
  <xdr:twoCellAnchor editAs="absolute">
    <xdr:from>
      <xdr:col>18</xdr:col>
      <xdr:colOff>936353</xdr:colOff>
      <xdr:row>2</xdr:row>
      <xdr:rowOff>24342</xdr:rowOff>
    </xdr:from>
    <xdr:to>
      <xdr:col>19</xdr:col>
      <xdr:colOff>1087166</xdr:colOff>
      <xdr:row>3</xdr:row>
      <xdr:rowOff>87841</xdr:rowOff>
    </xdr:to>
    <xdr:sp macro="" textlink="Calculations!K153">
      <xdr:nvSpPr>
        <xdr:cNvPr id="83" name="TextBox 82">
          <a:extLst>
            <a:ext uri="{FF2B5EF4-FFF2-40B4-BE49-F238E27FC236}">
              <a16:creationId xmlns:a16="http://schemas.microsoft.com/office/drawing/2014/main" id="{A39FB904-05D4-4FEE-A1D9-0F547B1403A2}"/>
            </a:ext>
          </a:extLst>
        </xdr:cNvPr>
        <xdr:cNvSpPr txBox="1"/>
      </xdr:nvSpPr>
      <xdr:spPr>
        <a:xfrm>
          <a:off x="13652228" y="381530"/>
          <a:ext cx="1960564" cy="24209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6F651095-CBB1-454F-AEC5-66E44BEC9A11}" type="TxLink">
            <a:rPr lang="en-US" sz="1600" b="0" i="0" u="none" strike="noStrike">
              <a:solidFill>
                <a:srgbClr val="FFC000"/>
              </a:solidFill>
              <a:effectLst/>
              <a:latin typeface="+mj-lt"/>
              <a:ea typeface="+mn-ea"/>
              <a:cs typeface="Arial"/>
            </a:rPr>
            <a:pPr marL="0" indent="0" algn="ctr"/>
            <a:t>Bites</a:t>
          </a:fld>
          <a:endParaRPr lang="en-US" sz="1600" b="0" i="0" u="none" strike="noStrike">
            <a:solidFill>
              <a:srgbClr val="FFC000"/>
            </a:solidFill>
            <a:effectLst/>
            <a:latin typeface="+mj-lt"/>
            <a:ea typeface="+mn-ea"/>
            <a:cs typeface="Arial"/>
          </a:endParaRPr>
        </a:p>
      </xdr:txBody>
    </xdr:sp>
    <xdr:clientData/>
  </xdr:twoCellAnchor>
  <xdr:twoCellAnchor editAs="absolute">
    <xdr:from>
      <xdr:col>20</xdr:col>
      <xdr:colOff>368821</xdr:colOff>
      <xdr:row>4</xdr:row>
      <xdr:rowOff>2379</xdr:rowOff>
    </xdr:from>
    <xdr:to>
      <xdr:col>21</xdr:col>
      <xdr:colOff>875551</xdr:colOff>
      <xdr:row>12</xdr:row>
      <xdr:rowOff>85776</xdr:rowOff>
    </xdr:to>
    <xdr:graphicFrame macro="">
      <xdr:nvGraphicFramePr>
        <xdr:cNvPr id="84" name="Chart 83">
          <a:extLst>
            <a:ext uri="{FF2B5EF4-FFF2-40B4-BE49-F238E27FC236}">
              <a16:creationId xmlns:a16="http://schemas.microsoft.com/office/drawing/2014/main" id="{1370F083-F9F0-405E-A10A-43E9DDAE8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20</xdr:col>
      <xdr:colOff>804066</xdr:colOff>
      <xdr:row>6</xdr:row>
      <xdr:rowOff>42600</xdr:rowOff>
    </xdr:from>
    <xdr:to>
      <xdr:col>21</xdr:col>
      <xdr:colOff>446877</xdr:colOff>
      <xdr:row>9</xdr:row>
      <xdr:rowOff>170392</xdr:rowOff>
    </xdr:to>
    <xdr:sp macro="" textlink="Calculations!$M$154">
      <xdr:nvSpPr>
        <xdr:cNvPr id="85" name="Oval 84">
          <a:extLst>
            <a:ext uri="{FF2B5EF4-FFF2-40B4-BE49-F238E27FC236}">
              <a16:creationId xmlns:a16="http://schemas.microsoft.com/office/drawing/2014/main" id="{AA2FA6F7-8F1D-4DF9-BB50-D621272205C3}"/>
            </a:ext>
          </a:extLst>
        </xdr:cNvPr>
        <xdr:cNvSpPr/>
      </xdr:nvSpPr>
      <xdr:spPr>
        <a:xfrm>
          <a:off x="16401254" y="1114163"/>
          <a:ext cx="714373" cy="699292"/>
        </a:xfrm>
        <a:prstGeom prst="ellipse">
          <a:avLst/>
        </a:prstGeom>
        <a:ln>
          <a:noFill/>
        </a:ln>
        <a:effectLst>
          <a:innerShdw blurRad="114300">
            <a:prstClr val="black"/>
          </a:innerShdw>
        </a:effectLst>
      </xdr:spPr>
      <xdr:style>
        <a:lnRef idx="1">
          <a:schemeClr val="accent3"/>
        </a:lnRef>
        <a:fillRef idx="3">
          <a:schemeClr val="accent3"/>
        </a:fillRef>
        <a:effectRef idx="2">
          <a:schemeClr val="accent3"/>
        </a:effectRef>
        <a:fontRef idx="minor">
          <a:schemeClr val="lt1"/>
        </a:fontRef>
      </xdr:style>
      <xdr:txBody>
        <a:bodyPr vertOverflow="clip" horzOverflow="clip" wrap="none" lIns="0" tIns="0" rIns="0" bIns="0" rtlCol="0" anchor="ctr"/>
        <a:lstStyle/>
        <a:p>
          <a:pPr algn="ctr"/>
          <a:fld id="{5011A0CC-1EFE-485E-8608-BF2F1C1ED92E}" type="TxLink">
            <a:rPr lang="en-US" sz="1050" b="0" i="0" u="none" strike="noStrike">
              <a:solidFill>
                <a:schemeClr val="bg1"/>
              </a:solidFill>
              <a:latin typeface="Arial"/>
              <a:cs typeface="Arial"/>
            </a:rPr>
            <a:pPr algn="ctr"/>
            <a:t>86.2%</a:t>
          </a:fld>
          <a:endParaRPr lang="en-US" sz="600">
            <a:solidFill>
              <a:schemeClr val="bg1"/>
            </a:solidFill>
          </a:endParaRPr>
        </a:p>
      </xdr:txBody>
    </xdr:sp>
    <xdr:clientData/>
  </xdr:twoCellAnchor>
  <xdr:twoCellAnchor editAs="absolute">
    <xdr:from>
      <xdr:col>20</xdr:col>
      <xdr:colOff>625468</xdr:colOff>
      <xdr:row>10</xdr:row>
      <xdr:rowOff>153194</xdr:rowOff>
    </xdr:from>
    <xdr:to>
      <xdr:col>21</xdr:col>
      <xdr:colOff>636052</xdr:colOff>
      <xdr:row>12</xdr:row>
      <xdr:rowOff>36777</xdr:rowOff>
    </xdr:to>
    <xdr:sp macro="" textlink="Calculations!T154">
      <xdr:nvSpPr>
        <xdr:cNvPr id="86" name="TextBox 85">
          <a:extLst>
            <a:ext uri="{FF2B5EF4-FFF2-40B4-BE49-F238E27FC236}">
              <a16:creationId xmlns:a16="http://schemas.microsoft.com/office/drawing/2014/main" id="{F248AEA4-AE31-4936-9EAB-0F450FEAA24D}"/>
            </a:ext>
          </a:extLst>
        </xdr:cNvPr>
        <xdr:cNvSpPr txBox="1"/>
      </xdr:nvSpPr>
      <xdr:spPr>
        <a:xfrm>
          <a:off x="16294094" y="1974850"/>
          <a:ext cx="1082146" cy="24077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506E3B3A-33D6-47CD-B5E6-36BC876C6676}" type="TxLink">
            <a:rPr lang="en-US" sz="1200" b="0" i="0" u="none" strike="noStrike">
              <a:solidFill>
                <a:schemeClr val="tx1">
                  <a:lumMod val="50000"/>
                  <a:lumOff val="50000"/>
                </a:schemeClr>
              </a:solidFill>
              <a:effectLst/>
              <a:latin typeface="+mj-lt"/>
              <a:ea typeface="+mn-ea"/>
              <a:cs typeface="Arial"/>
            </a:rPr>
            <a:pPr marL="0" indent="0" algn="ctr"/>
            <a:t>$3.34/$3.88 m</a:t>
          </a:fld>
          <a:endParaRPr lang="en-US" sz="1200" b="0" i="0" u="none" strike="noStrike">
            <a:solidFill>
              <a:schemeClr val="tx1">
                <a:lumMod val="50000"/>
                <a:lumOff val="50000"/>
              </a:schemeClr>
            </a:solidFill>
            <a:effectLst/>
            <a:latin typeface="+mj-lt"/>
            <a:ea typeface="+mn-ea"/>
            <a:cs typeface="Arial"/>
          </a:endParaRPr>
        </a:p>
      </xdr:txBody>
    </xdr:sp>
    <xdr:clientData/>
  </xdr:twoCellAnchor>
  <xdr:twoCellAnchor editAs="absolute">
    <xdr:from>
      <xdr:col>20</xdr:col>
      <xdr:colOff>584721</xdr:colOff>
      <xdr:row>2</xdr:row>
      <xdr:rowOff>41011</xdr:rowOff>
    </xdr:from>
    <xdr:to>
      <xdr:col>21</xdr:col>
      <xdr:colOff>587368</xdr:colOff>
      <xdr:row>3</xdr:row>
      <xdr:rowOff>104510</xdr:rowOff>
    </xdr:to>
    <xdr:sp macro="" textlink="Calculations!K154">
      <xdr:nvSpPr>
        <xdr:cNvPr id="87" name="TextBox 86">
          <a:extLst>
            <a:ext uri="{FF2B5EF4-FFF2-40B4-BE49-F238E27FC236}">
              <a16:creationId xmlns:a16="http://schemas.microsoft.com/office/drawing/2014/main" id="{B894B930-3CB6-421F-9FD4-85F5E1E488C2}"/>
            </a:ext>
          </a:extLst>
        </xdr:cNvPr>
        <xdr:cNvSpPr txBox="1"/>
      </xdr:nvSpPr>
      <xdr:spPr>
        <a:xfrm>
          <a:off x="16253347" y="398199"/>
          <a:ext cx="1074209" cy="24209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80310680-130E-4C27-8C45-57314F6F8798}" type="TxLink">
            <a:rPr lang="en-US" sz="1600" b="0" i="0" u="none" strike="noStrike">
              <a:solidFill>
                <a:srgbClr val="FFC000"/>
              </a:solidFill>
              <a:effectLst/>
              <a:latin typeface="+mj-lt"/>
              <a:ea typeface="+mn-ea"/>
              <a:cs typeface="Arial"/>
            </a:rPr>
            <a:pPr marL="0" indent="0" algn="ctr"/>
            <a:t>Other</a:t>
          </a:fld>
          <a:endParaRPr lang="en-US" sz="1600" b="0" i="0" u="none" strike="noStrike">
            <a:solidFill>
              <a:srgbClr val="FFC000"/>
            </a:solidFill>
            <a:effectLst/>
            <a:latin typeface="+mj-lt"/>
            <a:ea typeface="+mn-ea"/>
            <a:cs typeface="Arial"/>
          </a:endParaRPr>
        </a:p>
      </xdr:txBody>
    </xdr:sp>
    <xdr:clientData/>
  </xdr:twoCellAnchor>
  <xdr:twoCellAnchor>
    <xdr:from>
      <xdr:col>22</xdr:col>
      <xdr:colOff>0</xdr:colOff>
      <xdr:row>12</xdr:row>
      <xdr:rowOff>0</xdr:rowOff>
    </xdr:from>
    <xdr:to>
      <xdr:col>24</xdr:col>
      <xdr:colOff>232569</xdr:colOff>
      <xdr:row>13</xdr:row>
      <xdr:rowOff>59532</xdr:rowOff>
    </xdr:to>
    <xdr:sp macro="" textlink="">
      <xdr:nvSpPr>
        <xdr:cNvPr id="88" name="TextBox 87">
          <a:extLst>
            <a:ext uri="{FF2B5EF4-FFF2-40B4-BE49-F238E27FC236}">
              <a16:creationId xmlns:a16="http://schemas.microsoft.com/office/drawing/2014/main" id="{7C7BBE89-25AD-4AF4-A50A-DDEBDD1416BC}"/>
            </a:ext>
          </a:extLst>
        </xdr:cNvPr>
        <xdr:cNvSpPr txBox="1"/>
      </xdr:nvSpPr>
      <xdr:spPr>
        <a:xfrm>
          <a:off x="17668875" y="2178844"/>
          <a:ext cx="1697038" cy="2381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Last 28 Days</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0.33844</cdr:x>
      <cdr:y>0.36117</cdr:y>
    </cdr:from>
    <cdr:to>
      <cdr:x>0.65063</cdr:x>
      <cdr:y>0.66247</cdr:y>
    </cdr:to>
    <cdr:cxnSp macro="">
      <cdr:nvCxnSpPr>
        <cdr:cNvPr id="3" name="Straight Connector 2">
          <a:extLst xmlns:a="http://schemas.openxmlformats.org/drawingml/2006/main">
            <a:ext uri="{FF2B5EF4-FFF2-40B4-BE49-F238E27FC236}">
              <a16:creationId xmlns:a16="http://schemas.microsoft.com/office/drawing/2014/main" id="{56FAC60B-CADF-C7BE-A7AD-E86772BE9FC1}"/>
            </a:ext>
          </a:extLst>
        </cdr:cNvPr>
        <cdr:cNvCxnSpPr/>
      </cdr:nvCxnSpPr>
      <cdr:spPr>
        <a:xfrm xmlns:a="http://schemas.openxmlformats.org/drawingml/2006/main" flipH="1">
          <a:off x="1474258" y="1002242"/>
          <a:ext cx="1359958" cy="836083"/>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hyu Sin Tun" refreshedDate="45096.451459490738" backgroundQuery="1" createdVersion="8" refreshedVersion="8" minRefreshableVersion="3" recordCount="0" supportSubquery="1" supportAdvancedDrill="1" xr:uid="{A6021A35-9830-492D-AC07-8F0A774EF580}">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hyu Sin Tun" refreshedDate="45097.541196412036" backgroundQuery="1" createdVersion="8" refreshedVersion="8" minRefreshableVersion="3" recordCount="0" supportSubquery="1" supportAdvancedDrill="1" xr:uid="{10DC6111-7494-4782-A8F9-A26B92DCE8C7}">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hyu Sin Tun" refreshedDate="45099.460696527778" backgroundQuery="1" createdVersion="8" refreshedVersion="8" minRefreshableVersion="3" recordCount="0" supportSubquery="1" supportAdvancedDrill="1" xr:uid="{C53BB9B9-ADB3-4422-B668-E552516CC2D8}">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hyu Sin Tun" refreshedDate="45099.568954050927" backgroundQuery="1" createdVersion="8" refreshedVersion="8" minRefreshableVersion="3" recordCount="0" supportSubquery="1" supportAdvancedDrill="1" xr:uid="{4E873442-B112-4667-BE69-46D44C3045DA}">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Percentage]" caption="Profit Percentage"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1.61171365741" backgroundQuery="1" createdVersion="6" refreshedVersion="6" minRefreshableVersion="3" recordCount="0" supportSubquery="1" supportAdvancedDrill="1" xr:uid="{D83FC936-7538-4FB4-8C20-A321CC4F104B}">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it Percentage]" caption="Profit Percentage"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Percentage]" caption="Profit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2.71925185185" backgroundQuery="1" createdVersion="6" refreshedVersion="6" minRefreshableVersion="3" recordCount="0" supportSubquery="1" supportAdvancedDrill="1" xr:uid="{AEEAA479-F107-436D-8ED6-CC47D60025F2}">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2.798153124997" backgroundQuery="1" createdVersion="8" refreshedVersion="6" minRefreshableVersion="3" recordCount="0" supportSubquery="1" supportAdvancedDrill="1" xr:uid="{F8AC4453-773D-45D8-B378-4869E9D3AA2A}">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2.798155555553" backgroundQuery="1" createdVersion="8" refreshedVersion="6" minRefreshableVersion="3" recordCount="0" supportSubquery="1" supportAdvancedDrill="1" xr:uid="{E780BBD0-5779-45B3-AE17-EC864D4F65D4}">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2.798157870369" backgroundQuery="1" createdVersion="8" refreshedVersion="6" minRefreshableVersion="3" recordCount="0" supportSubquery="1" supportAdvancedDrill="1" xr:uid="{E9FE93E2-CE3D-4C93-9976-59DFDD266A47}">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02.798160185186" backgroundQuery="1" createdVersion="8" refreshedVersion="6" minRefreshableVersion="3" recordCount="0" supportSubquery="1" supportAdvancedDrill="1" xr:uid="{C2B1881B-1EE3-46C8-8C5A-5A3B5C2A4DAF}">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Percentage]" caption="Profit Percentage"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hyu Sin Tun" refreshedDate="45093.619404166668" backgroundQuery="1" createdVersion="3" refreshedVersion="8" minRefreshableVersion="3" recordCount="0" supportSubquery="1" supportAdvancedDrill="1" xr:uid="{F2639590-03DD-4E68-85FC-89FE5353680B}">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954760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AC8D91-4403-4C57-B80A-1007DC381871}" name="PivotTable7" cacheId="4"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location ref="C151:F154" firstHeaderRow="0" firstDataRow="1" firstDataCol="1"/>
  <pivotFields count="4">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dataField="1" compact="0" outline="0" subtotalTop="0" showAll="0" defaultSubtotal="0"/>
    <pivotField dataField="1" compact="0" outline="0"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numFmtId="169"/>
  </dataFields>
  <formats count="4">
    <format dxfId="8">
      <pivotArea collapsedLevelsAreSubtotals="1" fieldPosition="0">
        <references count="2">
          <reference field="4294967294" count="1" selected="0">
            <x v="2"/>
          </reference>
          <reference field="0" count="1">
            <x v="0"/>
          </reference>
        </references>
      </pivotArea>
    </format>
    <format dxfId="7">
      <pivotArea collapsedLevelsAreSubtotals="1" fieldPosition="0">
        <references count="2">
          <reference field="4294967294" count="1" selected="0">
            <x v="2"/>
          </reference>
          <reference field="0" count="1">
            <x v="1"/>
          </reference>
        </references>
      </pivotArea>
    </format>
    <format dxfId="6">
      <pivotArea collapsedLevelsAreSubtotals="1" fieldPosition="0">
        <references count="2">
          <reference field="4294967294" count="1" selected="0">
            <x v="2"/>
          </reference>
          <reference field="0" count="1">
            <x v="2"/>
          </reference>
        </references>
      </pivotArea>
    </format>
    <format dxfId="5">
      <pivotArea field="0" grandRow="1" outline="0" collapsedLevelsAreSubtotals="1" axis="axisRow" fieldPosition="0">
        <references count="1">
          <reference field="4294967294" count="1" selected="0">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3EE17F-C8FF-4791-A9D4-EAA3002FD3B7}" name="CountryPivotSelected" cacheId="9"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H62:J6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loc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9DB551-2D9C-4FBA-B633-0F300942E472}"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84:E88"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895BAD-7949-4347-8CD4-B2A8E25080F3}"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9:D25"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9">
      <pivotArea collapsedLevelsAreSubtotals="1" fieldPosition="0">
        <references count="1">
          <reference field="4294967294" count="3">
            <x v="0"/>
            <x v="1"/>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EEF563-70FC-401F-A286-DC70127C6AAE}" name="PivotTable3" cacheId="7" dataOnRows="1"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8" indent="0" compact="0" compactData="0" multipleFieldFilters="0">
  <location ref="C43:D49"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10">
      <pivotArea collapsedLevelsAreSubtotals="1" fieldPosition="0">
        <references count="1">
          <reference field="4294967294" count="3">
            <x v="0"/>
            <x v="1"/>
            <x v="2"/>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432A69-20A1-469F-819D-4A2CCA1E3DE2}" name="PivotTable4" cacheId="8" dataOnRows="1"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8" indent="0" compact="0" compactData="0" multipleFieldFilters="0">
  <location ref="C4:C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676470-33FB-45E2-8746-7E9DA410A620}" name="PivotTable2" cacheId="6"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8" indent="0" compact="0" compactData="0" multipleFieldFilters="0">
  <location ref="H19:O32"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11">
      <pivotArea collapsedLevelsAreSubtotals="1" fieldPosition="0">
        <references count="1">
          <reference field="4294967294" count="3">
            <x v="0"/>
            <x v="1"/>
            <x v="2"/>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111C6F-8F97-47CC-9E05-512CC8EBA27A}" name="PivotTable8" cacheId="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C171:H19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F4B7D6E-7DDC-479D-B12F-22A9195A1DD1}"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2:E68"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loc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8BC72A-76AD-44B5-B300-B68756205CAF}"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99:G124"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96343FD-A4F7-4015-A02B-19D976BED672}" sourceName="[products].[Category]">
  <pivotTables>
    <pivotTable tabId="7" name="PivotTable2"/>
    <pivotTable tabId="7" name="PivotTable3"/>
    <pivotTable tabId="7" name="PivotTable4"/>
    <pivotTable tabId="7" name="CountryPivotSelected"/>
  </pivotTables>
  <data>
    <olap pivotCacheId="1795476061">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6619E0E-D0AB-4E05-9FB2-BF283F54A822}" cache="Slicer_Category" caption="Category" showCaption="0" level="1" style="Slicer for DB"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6"/>
    <tableColumn id="4" xr3:uid="{A6AE6433-EA0A-4DDE-B99A-A1B0F025E063}" name="Amount" dataDxfId="15"/>
    <tableColumn id="5" xr3:uid="{8178A1DC-411A-40E4-AF22-16EACFD0372C}" name="Customers" dataDxfId="14"/>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3"/>
    <tableColumn id="4" xr3:uid="{0F20B05C-E6E4-4ABE-9B1E-65DDDF6DE17B}" name="Cost per Box" dataDxfId="12"/>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abSelected="1" workbookViewId="0">
      <selection activeCell="Q14" sqref="Q14"/>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2F84-5364-48EF-BF21-C52456065B89}">
  <dimension ref="C1:BI193"/>
  <sheetViews>
    <sheetView workbookViewId="0">
      <selection activeCell="K5" sqref="K5"/>
    </sheetView>
  </sheetViews>
  <sheetFormatPr defaultRowHeight="14.25" x14ac:dyDescent="0.2"/>
  <cols>
    <col min="1" max="2" width="2.25" customWidth="1"/>
    <col min="3" max="4" width="10.875" bestFit="1" customWidth="1"/>
    <col min="5" max="5" width="14.25" bestFit="1" customWidth="1"/>
    <col min="6" max="6" width="13.25" bestFit="1" customWidth="1"/>
    <col min="7" max="7" width="15.375" bestFit="1" customWidth="1"/>
    <col min="8" max="8" width="13.125" bestFit="1" customWidth="1"/>
    <col min="9" max="9" width="14.25" bestFit="1" customWidth="1"/>
    <col min="10" max="10" width="16.625" bestFit="1" customWidth="1"/>
    <col min="11" max="11" width="13.25" bestFit="1" customWidth="1"/>
    <col min="12" max="12" width="15.375" bestFit="1" customWidth="1"/>
    <col min="13" max="13" width="10" bestFit="1" customWidth="1"/>
    <col min="14" max="14" width="10.75" bestFit="1" customWidth="1"/>
    <col min="15" max="15" width="16.625" bestFit="1" customWidth="1"/>
    <col min="16" max="16" width="15.625" bestFit="1" customWidth="1"/>
    <col min="17" max="17" width="17.25" customWidth="1"/>
    <col min="18" max="20" width="14.75" customWidth="1"/>
    <col min="21" max="21" width="16.125" customWidth="1"/>
    <col min="22" max="22" width="9.75" bestFit="1" customWidth="1"/>
    <col min="23" max="24" width="10.875" bestFit="1" customWidth="1"/>
    <col min="25" max="25" width="10.75" bestFit="1" customWidth="1"/>
    <col min="26" max="26" width="8.75" bestFit="1" customWidth="1"/>
    <col min="27" max="27" width="12.5" customWidth="1"/>
    <col min="28" max="28" width="15.25" bestFit="1" customWidth="1"/>
    <col min="29" max="29" width="10.75" bestFit="1" customWidth="1"/>
    <col min="30" max="30" width="8.75" bestFit="1" customWidth="1"/>
    <col min="31" max="31" width="11.75" customWidth="1"/>
    <col min="32" max="32" width="19.375" bestFit="1" customWidth="1"/>
    <col min="33" max="33" width="20.5" bestFit="1" customWidth="1"/>
    <col min="34" max="51" width="8.75" bestFit="1" customWidth="1"/>
    <col min="52" max="58" width="9" bestFit="1" customWidth="1"/>
    <col min="59" max="74" width="8.75" bestFit="1" customWidth="1"/>
    <col min="75" max="78" width="7.75" bestFit="1" customWidth="1"/>
    <col min="79" max="79" width="8.25" bestFit="1" customWidth="1"/>
    <col min="80" max="81" width="7.75" bestFit="1" customWidth="1"/>
    <col min="82" max="96" width="8.75" bestFit="1" customWidth="1"/>
    <col min="97" max="97" width="8.25" bestFit="1" customWidth="1"/>
    <col min="98" max="101" width="7.75" bestFit="1" customWidth="1"/>
    <col min="102" max="117" width="8.75" bestFit="1" customWidth="1"/>
    <col min="118" max="124" width="7.75" bestFit="1" customWidth="1"/>
    <col min="125" max="139" width="8.75" bestFit="1" customWidth="1"/>
    <col min="140" max="143" width="7.75" bestFit="1" customWidth="1"/>
    <col min="144" max="145" width="8.25" bestFit="1" customWidth="1"/>
    <col min="146" max="146" width="7.75" bestFit="1" customWidth="1"/>
    <col min="147" max="161" width="8.75" bestFit="1" customWidth="1"/>
    <col min="162" max="162" width="8.25" bestFit="1" customWidth="1"/>
    <col min="163" max="166" width="7.75" bestFit="1" customWidth="1"/>
    <col min="167" max="167" width="8.25" bestFit="1" customWidth="1"/>
    <col min="168" max="183" width="8.75" bestFit="1" customWidth="1"/>
    <col min="184" max="190" width="7.75" bestFit="1" customWidth="1"/>
    <col min="191" max="211" width="8.75" bestFit="1" customWidth="1"/>
    <col min="212" max="226" width="9.75" bestFit="1" customWidth="1"/>
    <col min="227" max="233" width="8.75" bestFit="1" customWidth="1"/>
    <col min="234" max="248" width="9.75" bestFit="1" customWidth="1"/>
    <col min="249" max="255" width="8.75" bestFit="1" customWidth="1"/>
    <col min="256" max="271" width="9.75" bestFit="1" customWidth="1"/>
    <col min="272" max="276" width="8.25" bestFit="1" customWidth="1"/>
    <col min="277" max="292" width="8.75" bestFit="1" customWidth="1"/>
    <col min="293" max="293" width="10.875" bestFit="1" customWidth="1"/>
  </cols>
  <sheetData>
    <row r="1" spans="3:11" s="13" customFormat="1" ht="41.45" customHeight="1" x14ac:dyDescent="0.7">
      <c r="C1" s="20" t="s">
        <v>102</v>
      </c>
    </row>
    <row r="4" spans="3:11" x14ac:dyDescent="0.2">
      <c r="C4" s="21" t="s">
        <v>61</v>
      </c>
      <c r="F4" t="s">
        <v>141</v>
      </c>
    </row>
    <row r="5" spans="3:11" x14ac:dyDescent="0.2">
      <c r="C5" t="s">
        <v>64</v>
      </c>
      <c r="F5">
        <f xml:space="preserve"> COUNTA(C5:C7)</f>
        <v>1</v>
      </c>
      <c r="H5" t="str">
        <f>CHOOSE(F5,C5,"(Multiple)","(All)")</f>
        <v>Bars</v>
      </c>
      <c r="J5" t="s">
        <v>171</v>
      </c>
      <c r="K5" s="42"/>
    </row>
    <row r="6" spans="3:11" x14ac:dyDescent="0.2">
      <c r="J6" t="s">
        <v>171</v>
      </c>
      <c r="K6" t="str">
        <f>Dashboard!U38</f>
        <v>On</v>
      </c>
    </row>
    <row r="7" spans="3:11" x14ac:dyDescent="0.2">
      <c r="J7" t="s">
        <v>172</v>
      </c>
      <c r="K7" s="43">
        <f>MAX(sales[Date])</f>
        <v>44592</v>
      </c>
    </row>
    <row r="8" spans="3:11" x14ac:dyDescent="0.2">
      <c r="J8" t="s">
        <v>173</v>
      </c>
      <c r="K8" s="43">
        <f xml:space="preserve"> K7 - 28</f>
        <v>44564</v>
      </c>
    </row>
    <row r="19" spans="3:29" x14ac:dyDescent="0.2">
      <c r="C19" s="21" t="s">
        <v>105</v>
      </c>
      <c r="H19" s="21" t="s">
        <v>124</v>
      </c>
      <c r="I19" s="21" t="s">
        <v>125</v>
      </c>
      <c r="J19" t="s">
        <v>103</v>
      </c>
      <c r="K19" t="s">
        <v>104</v>
      </c>
      <c r="L19" t="s">
        <v>106</v>
      </c>
      <c r="M19" t="s">
        <v>107</v>
      </c>
      <c r="N19" t="s">
        <v>108</v>
      </c>
      <c r="O19" t="s">
        <v>109</v>
      </c>
      <c r="Q19" t="s">
        <v>126</v>
      </c>
    </row>
    <row r="20" spans="3:29" ht="15" x14ac:dyDescent="0.25">
      <c r="C20" s="22" t="s">
        <v>103</v>
      </c>
      <c r="D20" s="23">
        <v>21701722</v>
      </c>
      <c r="H20" t="s">
        <v>111</v>
      </c>
      <c r="I20" t="s">
        <v>112</v>
      </c>
      <c r="J20" s="23">
        <v>1554315</v>
      </c>
      <c r="K20" s="23">
        <v>117812</v>
      </c>
      <c r="L20" s="23">
        <v>247</v>
      </c>
      <c r="M20" s="23">
        <v>425330.24850000022</v>
      </c>
      <c r="N20" s="23">
        <v>1128984.7514999998</v>
      </c>
      <c r="O20" s="24">
        <v>0.72635517993456911</v>
      </c>
      <c r="AA20" s="11" t="s">
        <v>136</v>
      </c>
    </row>
    <row r="21" spans="3:29" x14ac:dyDescent="0.2">
      <c r="C21" s="22" t="s">
        <v>104</v>
      </c>
      <c r="D21" s="23">
        <v>1344574</v>
      </c>
      <c r="H21" t="s">
        <v>110</v>
      </c>
      <c r="I21" t="s">
        <v>123</v>
      </c>
      <c r="J21" s="23">
        <v>948395</v>
      </c>
      <c r="K21" s="23">
        <v>56175</v>
      </c>
      <c r="L21" s="23">
        <v>161</v>
      </c>
      <c r="M21" s="23">
        <v>282132.02000000014</v>
      </c>
      <c r="N21" s="23">
        <v>666262.97999999986</v>
      </c>
      <c r="O21" s="24">
        <v>0.70251633549312242</v>
      </c>
      <c r="Q21" t="s">
        <v>127</v>
      </c>
      <c r="R21" t="s">
        <v>128</v>
      </c>
      <c r="U21" t="s">
        <v>129</v>
      </c>
      <c r="V21" t="s">
        <v>133</v>
      </c>
      <c r="X21" t="s">
        <v>134</v>
      </c>
      <c r="Y21" t="s">
        <v>135</v>
      </c>
      <c r="AA21" t="s">
        <v>137</v>
      </c>
      <c r="AB21" t="s">
        <v>134</v>
      </c>
      <c r="AC21" t="s">
        <v>135</v>
      </c>
    </row>
    <row r="22" spans="3:29" x14ac:dyDescent="0.2">
      <c r="C22" s="22" t="s">
        <v>106</v>
      </c>
      <c r="D22" s="23">
        <v>3791</v>
      </c>
      <c r="H22" t="s">
        <v>110</v>
      </c>
      <c r="I22" t="s">
        <v>122</v>
      </c>
      <c r="J22" s="23">
        <v>661752</v>
      </c>
      <c r="K22" s="23">
        <v>41034</v>
      </c>
      <c r="L22" s="23">
        <v>124</v>
      </c>
      <c r="M22" s="23">
        <v>201157.0112999999</v>
      </c>
      <c r="N22" s="23">
        <v>460594.9887000001</v>
      </c>
      <c r="O22" s="24">
        <v>0.69602356879918781</v>
      </c>
      <c r="Q22" t="s">
        <v>130</v>
      </c>
      <c r="R22" s="23">
        <f>J20</f>
        <v>1554315</v>
      </c>
      <c r="S22" s="23"/>
      <c r="T22" s="23"/>
      <c r="U22" s="23">
        <f>J21</f>
        <v>948395</v>
      </c>
      <c r="V22" s="25">
        <f t="shared" ref="V22:V27" si="0">R22/U22-1</f>
        <v>0.63888991401262141</v>
      </c>
      <c r="X22" s="23">
        <f t="shared" ref="X22:X27" si="1">D20</f>
        <v>21701722</v>
      </c>
      <c r="Y22" s="23">
        <f t="shared" ref="Y22:Y27" si="2">D44</f>
        <v>10744335</v>
      </c>
      <c r="AA22" t="s">
        <v>138</v>
      </c>
      <c r="AB22" t="str">
        <f t="shared" ref="AB22:AB26" si="3">TEXT(X22,$AA22)</f>
        <v>$21.70 m</v>
      </c>
      <c r="AC22" t="str">
        <f>IF(F5=3," ",TEXT(Y22,$AA22))</f>
        <v>$10.74 m</v>
      </c>
    </row>
    <row r="23" spans="3:29" x14ac:dyDescent="0.2">
      <c r="C23" s="22" t="s">
        <v>107</v>
      </c>
      <c r="D23" s="23">
        <v>6681539.3595000003</v>
      </c>
      <c r="H23" t="s">
        <v>110</v>
      </c>
      <c r="I23" t="s">
        <v>121</v>
      </c>
      <c r="J23" s="23">
        <v>672980</v>
      </c>
      <c r="K23" s="23">
        <v>42985</v>
      </c>
      <c r="L23" s="23">
        <v>127</v>
      </c>
      <c r="M23" s="23">
        <v>231498.09670000011</v>
      </c>
      <c r="N23" s="23">
        <v>441481.90329999989</v>
      </c>
      <c r="O23" s="24">
        <v>0.65601043611994392</v>
      </c>
      <c r="Q23" t="s">
        <v>7</v>
      </c>
      <c r="R23" s="23">
        <f>K20</f>
        <v>117812</v>
      </c>
      <c r="S23" s="23"/>
      <c r="T23" s="23"/>
      <c r="U23" s="23">
        <f>K21</f>
        <v>56175</v>
      </c>
      <c r="V23" s="25">
        <f t="shared" si="0"/>
        <v>1.0972318647085002</v>
      </c>
      <c r="X23" s="23">
        <f t="shared" si="1"/>
        <v>1344574</v>
      </c>
      <c r="Y23" s="23">
        <f t="shared" si="2"/>
        <v>680402</v>
      </c>
      <c r="AA23" t="s">
        <v>139</v>
      </c>
      <c r="AB23" t="str">
        <f t="shared" si="3"/>
        <v>1,344.6 k</v>
      </c>
      <c r="AC23" t="str">
        <f>IF(F5=3," ",TEXT(Y23,$AA23))</f>
        <v>680.4 k</v>
      </c>
    </row>
    <row r="24" spans="3:29" x14ac:dyDescent="0.2">
      <c r="C24" s="22" t="s">
        <v>108</v>
      </c>
      <c r="D24" s="23">
        <v>15020182.6405</v>
      </c>
      <c r="H24" t="s">
        <v>110</v>
      </c>
      <c r="I24" t="s">
        <v>120</v>
      </c>
      <c r="J24" s="23">
        <v>619073</v>
      </c>
      <c r="K24" s="23">
        <v>36502</v>
      </c>
      <c r="L24" s="23">
        <v>117</v>
      </c>
      <c r="M24" s="23">
        <v>161729.74280000001</v>
      </c>
      <c r="N24" s="23">
        <v>457343.25719999999</v>
      </c>
      <c r="O24" s="24">
        <v>0.7387549726768895</v>
      </c>
      <c r="Q24" t="s">
        <v>131</v>
      </c>
      <c r="R24" s="23">
        <f>L20</f>
        <v>247</v>
      </c>
      <c r="S24" s="23"/>
      <c r="T24" s="23"/>
      <c r="U24" s="23">
        <f>L21</f>
        <v>161</v>
      </c>
      <c r="V24" s="25">
        <f t="shared" si="0"/>
        <v>0.53416149068322971</v>
      </c>
      <c r="X24" s="23">
        <f t="shared" si="1"/>
        <v>3791</v>
      </c>
      <c r="Y24" s="23">
        <f t="shared" si="2"/>
        <v>1897</v>
      </c>
      <c r="AA24" t="s">
        <v>140</v>
      </c>
      <c r="AB24" t="str">
        <f t="shared" si="3"/>
        <v>3,791</v>
      </c>
      <c r="AC24" t="str">
        <f>IF(F5=3," ",TEXT(Y24,$AA24))</f>
        <v>1,897</v>
      </c>
    </row>
    <row r="25" spans="3:29" x14ac:dyDescent="0.2">
      <c r="C25" s="22" t="s">
        <v>109</v>
      </c>
      <c r="D25" s="24">
        <v>0.69211939220767826</v>
      </c>
      <c r="H25" t="s">
        <v>110</v>
      </c>
      <c r="I25" t="s">
        <v>119</v>
      </c>
      <c r="J25" s="23">
        <v>872431</v>
      </c>
      <c r="K25" s="23">
        <v>57787</v>
      </c>
      <c r="L25" s="23">
        <v>154</v>
      </c>
      <c r="M25" s="23">
        <v>337922.24649999995</v>
      </c>
      <c r="N25" s="23">
        <v>534508.75350000011</v>
      </c>
      <c r="O25" s="24">
        <v>0.61266593403948288</v>
      </c>
      <c r="Q25" t="s">
        <v>107</v>
      </c>
      <c r="R25" s="23">
        <f>M20</f>
        <v>425330.24850000022</v>
      </c>
      <c r="S25" s="23"/>
      <c r="T25" s="23"/>
      <c r="U25" s="23">
        <f>M21</f>
        <v>282132.02000000014</v>
      </c>
      <c r="V25" s="25">
        <f t="shared" si="0"/>
        <v>0.50755752041189806</v>
      </c>
      <c r="X25" s="23">
        <f t="shared" si="1"/>
        <v>6681539.3595000003</v>
      </c>
      <c r="Y25" s="23">
        <f t="shared" si="2"/>
        <v>3334275.9826000039</v>
      </c>
      <c r="AA25" t="s">
        <v>138</v>
      </c>
      <c r="AB25" t="str">
        <f t="shared" si="3"/>
        <v>$6.68 m</v>
      </c>
      <c r="AC25" t="str">
        <f>IF(F5=3," ",TEXT(Y25,$AA25))</f>
        <v>$3.33 m</v>
      </c>
    </row>
    <row r="26" spans="3:29" x14ac:dyDescent="0.2">
      <c r="H26" t="s">
        <v>110</v>
      </c>
      <c r="I26" t="s">
        <v>118</v>
      </c>
      <c r="J26" s="23">
        <v>529844</v>
      </c>
      <c r="K26" s="23">
        <v>30728</v>
      </c>
      <c r="L26" s="23">
        <v>104</v>
      </c>
      <c r="M26" s="23">
        <v>170404.47460000002</v>
      </c>
      <c r="N26" s="23">
        <v>359439.52539999998</v>
      </c>
      <c r="O26" s="24">
        <v>0.67838746008259032</v>
      </c>
      <c r="Q26" t="s">
        <v>108</v>
      </c>
      <c r="R26" s="23">
        <f>N20</f>
        <v>1128984.7514999998</v>
      </c>
      <c r="S26" s="23"/>
      <c r="T26" s="23"/>
      <c r="U26" s="23">
        <f>N21</f>
        <v>666262.97999999986</v>
      </c>
      <c r="V26" s="25">
        <f t="shared" si="0"/>
        <v>0.69450319977255837</v>
      </c>
      <c r="X26" s="23">
        <f t="shared" si="1"/>
        <v>15020182.6405</v>
      </c>
      <c r="Y26" s="23">
        <f t="shared" si="2"/>
        <v>7410059.0173999965</v>
      </c>
      <c r="AA26" t="s">
        <v>138</v>
      </c>
      <c r="AB26" t="str">
        <f t="shared" si="3"/>
        <v>$15.02 m</v>
      </c>
      <c r="AC26" t="str">
        <f>IF(F5=3," ",TEXT(Y26,$AA26))</f>
        <v>$7.41 m</v>
      </c>
    </row>
    <row r="27" spans="3:29" x14ac:dyDescent="0.2">
      <c r="H27" t="s">
        <v>110</v>
      </c>
      <c r="I27" t="s">
        <v>117</v>
      </c>
      <c r="J27" s="23">
        <v>734041</v>
      </c>
      <c r="K27" s="23">
        <v>42519</v>
      </c>
      <c r="L27" s="23">
        <v>121</v>
      </c>
      <c r="M27" s="23">
        <v>208438.13070000007</v>
      </c>
      <c r="N27" s="23">
        <v>525602.8692999999</v>
      </c>
      <c r="O27" s="24">
        <v>0.71604020660971246</v>
      </c>
      <c r="Q27" t="s">
        <v>132</v>
      </c>
      <c r="R27" s="24">
        <f>O20</f>
        <v>0.72635517993456911</v>
      </c>
      <c r="S27" s="24"/>
      <c r="T27" s="24"/>
      <c r="U27" s="24">
        <f>O21</f>
        <v>0.70251633549312242</v>
      </c>
      <c r="V27" s="25">
        <f t="shared" si="0"/>
        <v>3.3933509068815093E-2</v>
      </c>
      <c r="X27" s="26">
        <f t="shared" si="1"/>
        <v>0.69211939220767826</v>
      </c>
      <c r="Y27" s="25">
        <f t="shared" si="2"/>
        <v>0.68967125628528858</v>
      </c>
      <c r="AA27" s="27">
        <v>0</v>
      </c>
      <c r="AB27" s="26">
        <f>X27</f>
        <v>0.69211939220767826</v>
      </c>
      <c r="AC27" s="28">
        <f>IF(F5=3," ",Y27)</f>
        <v>0.68967125628528858</v>
      </c>
    </row>
    <row r="28" spans="3:29" x14ac:dyDescent="0.2">
      <c r="H28" t="s">
        <v>110</v>
      </c>
      <c r="I28" t="s">
        <v>116</v>
      </c>
      <c r="J28" s="23">
        <v>821317</v>
      </c>
      <c r="K28" s="23">
        <v>51344</v>
      </c>
      <c r="L28" s="23">
        <v>146</v>
      </c>
      <c r="M28" s="23">
        <v>283500.11949999997</v>
      </c>
      <c r="N28" s="23">
        <v>537816.88049999997</v>
      </c>
      <c r="O28" s="24">
        <v>0.65482253563484005</v>
      </c>
    </row>
    <row r="29" spans="3:29" x14ac:dyDescent="0.2">
      <c r="H29" t="s">
        <v>110</v>
      </c>
      <c r="I29" t="s">
        <v>115</v>
      </c>
      <c r="J29" s="23">
        <v>820274</v>
      </c>
      <c r="K29" s="23">
        <v>50290</v>
      </c>
      <c r="L29" s="23">
        <v>142</v>
      </c>
      <c r="M29" s="23">
        <v>292019.29239999992</v>
      </c>
      <c r="N29" s="23">
        <v>528254.70760000008</v>
      </c>
      <c r="O29" s="24">
        <v>0.64399786851710539</v>
      </c>
    </row>
    <row r="30" spans="3:29" x14ac:dyDescent="0.2">
      <c r="H30" t="s">
        <v>110</v>
      </c>
      <c r="I30" t="s">
        <v>114</v>
      </c>
      <c r="J30" s="23">
        <v>934941</v>
      </c>
      <c r="K30" s="23">
        <v>57877</v>
      </c>
      <c r="L30" s="23">
        <v>152</v>
      </c>
      <c r="M30" s="23">
        <v>296429.71189999999</v>
      </c>
      <c r="N30" s="23">
        <v>638511.28810000001</v>
      </c>
      <c r="O30" s="24">
        <v>0.68294286815959515</v>
      </c>
    </row>
    <row r="31" spans="3:29" x14ac:dyDescent="0.2">
      <c r="H31" t="s">
        <v>110</v>
      </c>
      <c r="I31" t="s">
        <v>113</v>
      </c>
      <c r="J31" s="23">
        <v>737961</v>
      </c>
      <c r="K31" s="23">
        <v>44202</v>
      </c>
      <c r="L31" s="23">
        <v>139</v>
      </c>
      <c r="M31" s="23">
        <v>204338.54309999992</v>
      </c>
      <c r="N31" s="23">
        <v>533622.45690000011</v>
      </c>
      <c r="O31" s="24">
        <v>0.7231038725623713</v>
      </c>
    </row>
    <row r="32" spans="3:29" x14ac:dyDescent="0.2">
      <c r="H32" t="s">
        <v>110</v>
      </c>
      <c r="I32" t="s">
        <v>112</v>
      </c>
      <c r="J32" s="23">
        <v>837011</v>
      </c>
      <c r="K32" s="23">
        <v>51147</v>
      </c>
      <c r="L32" s="23">
        <v>163</v>
      </c>
      <c r="M32" s="23">
        <v>239376.34459999995</v>
      </c>
      <c r="N32" s="23">
        <v>597634.65540000005</v>
      </c>
      <c r="O32" s="24">
        <v>0.71401051527399284</v>
      </c>
    </row>
    <row r="43" spans="3:4" x14ac:dyDescent="0.2">
      <c r="C43" s="21" t="s">
        <v>105</v>
      </c>
    </row>
    <row r="44" spans="3:4" x14ac:dyDescent="0.2">
      <c r="C44" t="s">
        <v>103</v>
      </c>
      <c r="D44" s="23">
        <v>10744335</v>
      </c>
    </row>
    <row r="45" spans="3:4" x14ac:dyDescent="0.2">
      <c r="C45" t="s">
        <v>104</v>
      </c>
      <c r="D45" s="23">
        <v>680402</v>
      </c>
    </row>
    <row r="46" spans="3:4" x14ac:dyDescent="0.2">
      <c r="C46" t="s">
        <v>106</v>
      </c>
      <c r="D46" s="23">
        <v>1897</v>
      </c>
    </row>
    <row r="47" spans="3:4" x14ac:dyDescent="0.2">
      <c r="C47" t="s">
        <v>107</v>
      </c>
      <c r="D47" s="23">
        <v>3334275.9826000039</v>
      </c>
    </row>
    <row r="48" spans="3:4" x14ac:dyDescent="0.2">
      <c r="C48" t="s">
        <v>108</v>
      </c>
      <c r="D48" s="23">
        <v>7410059.0173999965</v>
      </c>
    </row>
    <row r="49" spans="3:33" x14ac:dyDescent="0.2">
      <c r="C49" t="s">
        <v>109</v>
      </c>
      <c r="D49" s="24">
        <v>0.68967125628528858</v>
      </c>
    </row>
    <row r="51" spans="3:33" x14ac:dyDescent="0.2">
      <c r="Z51" t="s">
        <v>155</v>
      </c>
    </row>
    <row r="60" spans="3:33" ht="15" x14ac:dyDescent="0.25">
      <c r="C60" s="11" t="s">
        <v>142</v>
      </c>
    </row>
    <row r="61" spans="3:33" ht="15" x14ac:dyDescent="0.25">
      <c r="C61" s="11"/>
      <c r="L61" s="11" t="s">
        <v>144</v>
      </c>
      <c r="N61" s="11" t="s">
        <v>147</v>
      </c>
      <c r="Q61" s="11" t="s">
        <v>148</v>
      </c>
      <c r="R61" s="11"/>
      <c r="S61" s="11"/>
      <c r="T61" s="11"/>
      <c r="W61" s="11" t="s">
        <v>149</v>
      </c>
      <c r="AE61" s="11" t="s">
        <v>151</v>
      </c>
    </row>
    <row r="62" spans="3:33" x14ac:dyDescent="0.2">
      <c r="C62" s="21" t="s">
        <v>143</v>
      </c>
      <c r="D62" t="s">
        <v>103</v>
      </c>
      <c r="E62" t="s">
        <v>109</v>
      </c>
      <c r="H62" s="21" t="s">
        <v>143</v>
      </c>
      <c r="I62" t="s">
        <v>103</v>
      </c>
      <c r="J62" t="s">
        <v>109</v>
      </c>
      <c r="N62" t="s">
        <v>89</v>
      </c>
      <c r="O62" t="s">
        <v>145</v>
      </c>
      <c r="P62" t="s">
        <v>132</v>
      </c>
      <c r="Q62" t="s">
        <v>145</v>
      </c>
      <c r="R62" t="s">
        <v>132</v>
      </c>
      <c r="W62" t="s">
        <v>89</v>
      </c>
      <c r="X62" t="s">
        <v>145</v>
      </c>
      <c r="Y62" t="s">
        <v>132</v>
      </c>
      <c r="Z62" t="s">
        <v>145</v>
      </c>
      <c r="AA62" t="s">
        <v>132</v>
      </c>
      <c r="AC62" t="s">
        <v>150</v>
      </c>
      <c r="AE62" t="s">
        <v>89</v>
      </c>
      <c r="AF62" t="s">
        <v>152</v>
      </c>
      <c r="AG62" t="s">
        <v>153</v>
      </c>
    </row>
    <row r="63" spans="3:33" x14ac:dyDescent="0.2">
      <c r="C63" s="22" t="s">
        <v>26</v>
      </c>
      <c r="D63">
        <v>3545052</v>
      </c>
      <c r="E63" s="24">
        <v>0.6843165872037984</v>
      </c>
      <c r="H63" s="22" t="s">
        <v>26</v>
      </c>
      <c r="I63" s="46">
        <v>1753794</v>
      </c>
      <c r="J63" s="24">
        <v>0.69421174111668726</v>
      </c>
      <c r="L63" t="s">
        <v>145</v>
      </c>
      <c r="M63" t="s">
        <v>138</v>
      </c>
      <c r="N63" t="str" cm="1">
        <f t="array" ref="N63:P68">C63:E68</f>
        <v>Australia</v>
      </c>
      <c r="O63">
        <v>3545052</v>
      </c>
      <c r="P63">
        <v>0.6843165872037984</v>
      </c>
      <c r="Q63" cm="1">
        <f t="array" ref="Q63:R68">I63:J68</f>
        <v>1753794</v>
      </c>
      <c r="R63">
        <v>0.69421174111668726</v>
      </c>
      <c r="W63" t="str" cm="1">
        <f t="array" ref="W63:AA68">_xlfn._xlws.SORT(N63:R68,L68+1,-1)</f>
        <v>New Zealand</v>
      </c>
      <c r="X63">
        <v>3776766</v>
      </c>
      <c r="Y63">
        <v>0.67625100734331955</v>
      </c>
      <c r="Z63">
        <v>1887921</v>
      </c>
      <c r="AA63">
        <v>0.68613004839715219</v>
      </c>
      <c r="AC63">
        <f t="shared" ref="AC63:AC68" si="4" xml:space="preserve"> _xlfn.XMATCH(W63,country.names)</f>
        <v>4</v>
      </c>
      <c r="AE63" t="str" cm="1">
        <f t="array" ref="AE63:AE68" xml:space="preserve"> W63:W68</f>
        <v>New Zealand</v>
      </c>
      <c r="AF63" t="str" cm="1">
        <f t="array" ref="AF63">TEXT(IF($L$68=1,$X$63,$Y$63),INDEX($M$63:$M$64,$L$68))</f>
        <v>$3.78 m</v>
      </c>
      <c r="AG63" t="str" cm="1">
        <f t="array" ref="AG63">IF(F5=3," ",TEXT(IF($L$68=1,$Z$63,$AA$63),INDEX($M$63:$M$64,$L$68)))</f>
        <v>$1.89 m</v>
      </c>
    </row>
    <row r="64" spans="3:33" x14ac:dyDescent="0.2">
      <c r="C64" s="22" t="s">
        <v>12</v>
      </c>
      <c r="D64">
        <v>3583769</v>
      </c>
      <c r="E64" s="24">
        <v>0.68941683682737409</v>
      </c>
      <c r="H64" s="22" t="s">
        <v>12</v>
      </c>
      <c r="I64" s="46">
        <v>1722266</v>
      </c>
      <c r="J64" s="24">
        <v>0.68026427520487531</v>
      </c>
      <c r="L64" t="s">
        <v>132</v>
      </c>
      <c r="M64" s="32" t="s">
        <v>154</v>
      </c>
      <c r="N64" t="str">
        <v>Canada</v>
      </c>
      <c r="O64">
        <v>3583769</v>
      </c>
      <c r="P64">
        <v>0.68941683682737409</v>
      </c>
      <c r="Q64">
        <v>1722266</v>
      </c>
      <c r="R64">
        <v>0.68026427520487531</v>
      </c>
      <c r="W64" t="str">
        <v>India</v>
      </c>
      <c r="X64">
        <v>3760400</v>
      </c>
      <c r="Y64">
        <v>0.69917076265822797</v>
      </c>
      <c r="Z64">
        <v>1897420</v>
      </c>
      <c r="AA64">
        <v>0.68451681825847743</v>
      </c>
      <c r="AC64">
        <f t="shared" si="4"/>
        <v>3</v>
      </c>
      <c r="AE64" t="str">
        <v>India</v>
      </c>
      <c r="AF64" t="str" cm="1">
        <f t="array" ref="AF64">TEXT(IF($L$68=1,$X$64,$Y$64),INDEX($M$63:$M$64,$L$68))</f>
        <v>$3.76 m</v>
      </c>
      <c r="AG64" t="str" cm="1">
        <f t="array" ref="AG64">IF(F5=3," ",TEXT(IF($L$68=1,$Z$64,$AA$64),INDEX($M$63:$M$64,$L$68)))</f>
        <v>$1.90 m</v>
      </c>
    </row>
    <row r="65" spans="3:33" x14ac:dyDescent="0.2">
      <c r="C65" s="22" t="s">
        <v>21</v>
      </c>
      <c r="D65">
        <v>3760400</v>
      </c>
      <c r="E65" s="24">
        <v>0.69917076265822797</v>
      </c>
      <c r="H65" s="22" t="s">
        <v>21</v>
      </c>
      <c r="I65" s="46">
        <v>1897420</v>
      </c>
      <c r="J65" s="24">
        <v>0.68451681825847743</v>
      </c>
      <c r="N65" t="str">
        <v>India</v>
      </c>
      <c r="O65">
        <v>3760400</v>
      </c>
      <c r="P65">
        <v>0.69917076265822797</v>
      </c>
      <c r="Q65">
        <v>1897420</v>
      </c>
      <c r="R65">
        <v>0.68451681825847743</v>
      </c>
      <c r="W65" t="str">
        <v>UK</v>
      </c>
      <c r="X65">
        <v>3590153</v>
      </c>
      <c r="Y65">
        <v>0.69853347339235949</v>
      </c>
      <c r="Z65">
        <v>1820756</v>
      </c>
      <c r="AA65">
        <v>0.69948987288796516</v>
      </c>
      <c r="AC65">
        <f t="shared" si="4"/>
        <v>5</v>
      </c>
      <c r="AE65" t="str">
        <v>UK</v>
      </c>
      <c r="AF65" t="str" cm="1">
        <f t="array" ref="AF65">TEXT(IF($L$68=1,$X$65,$Y$65),INDEX($M$63:$M$64,$L$68))</f>
        <v>$3.59 m</v>
      </c>
      <c r="AG65" t="str" cm="1">
        <f t="array" ref="AG65">IF(F5=3," ",TEXT(IF($L$68=1,$Z$65,$AA$65),INDEX($M$63:$M$64,$L$68)))</f>
        <v>$1.82 m</v>
      </c>
    </row>
    <row r="66" spans="3:33" ht="15" x14ac:dyDescent="0.25">
      <c r="C66" s="22" t="s">
        <v>9</v>
      </c>
      <c r="D66">
        <v>3776766</v>
      </c>
      <c r="E66" s="24">
        <v>0.67625100734331955</v>
      </c>
      <c r="H66" s="22" t="s">
        <v>9</v>
      </c>
      <c r="I66" s="46">
        <v>1887921</v>
      </c>
      <c r="J66" s="24">
        <v>0.68613004839715219</v>
      </c>
      <c r="L66" s="11" t="s">
        <v>146</v>
      </c>
      <c r="N66" t="str">
        <v>New Zealand</v>
      </c>
      <c r="O66">
        <v>3776766</v>
      </c>
      <c r="P66">
        <v>0.67625100734331955</v>
      </c>
      <c r="Q66">
        <v>1887921</v>
      </c>
      <c r="R66">
        <v>0.68613004839715219</v>
      </c>
      <c r="W66" t="str">
        <v>Canada</v>
      </c>
      <c r="X66">
        <v>3583769</v>
      </c>
      <c r="Y66">
        <v>0.68941683682737409</v>
      </c>
      <c r="Z66">
        <v>1722266</v>
      </c>
      <c r="AA66">
        <v>0.68026427520487531</v>
      </c>
      <c r="AC66">
        <f t="shared" si="4"/>
        <v>2</v>
      </c>
      <c r="AE66" t="str">
        <v>Canada</v>
      </c>
      <c r="AF66" t="str" cm="1">
        <f t="array" ref="AF66">TEXT(IF($L$68=1,$X$66,$Y$66),INDEX($M$63:$M$64,$L$68))</f>
        <v>$3.58 m</v>
      </c>
      <c r="AG66" t="str" cm="1">
        <f t="array" ref="AG66">IF(F5=3," ",TEXT(IF($L$68=1,$Z$66,$AA$66),INDEX($M$63:$M$64,$L$68)))</f>
        <v>$1.72 m</v>
      </c>
    </row>
    <row r="67" spans="3:33" x14ac:dyDescent="0.2">
      <c r="C67" s="22" t="s">
        <v>24</v>
      </c>
      <c r="D67">
        <v>3590153</v>
      </c>
      <c r="E67" s="24">
        <v>0.69853347339235949</v>
      </c>
      <c r="H67" s="22" t="s">
        <v>24</v>
      </c>
      <c r="I67" s="46">
        <v>1820756</v>
      </c>
      <c r="J67" s="24">
        <v>0.69948987288796516</v>
      </c>
      <c r="L67" s="12" t="str">
        <f>Dashboard!H38</f>
        <v>Sales</v>
      </c>
      <c r="N67" t="str">
        <v>UK</v>
      </c>
      <c r="O67">
        <v>3590153</v>
      </c>
      <c r="P67">
        <v>0.69853347339235949</v>
      </c>
      <c r="Q67">
        <v>1820756</v>
      </c>
      <c r="R67">
        <v>0.69948987288796516</v>
      </c>
      <c r="W67" t="str">
        <v>Australia</v>
      </c>
      <c r="X67">
        <v>3545052</v>
      </c>
      <c r="Y67">
        <v>0.6843165872037984</v>
      </c>
      <c r="Z67">
        <v>1753794</v>
      </c>
      <c r="AA67">
        <v>0.69421174111668726</v>
      </c>
      <c r="AC67">
        <f t="shared" si="4"/>
        <v>1</v>
      </c>
      <c r="AE67" t="str">
        <v>Australia</v>
      </c>
      <c r="AF67" t="str" cm="1">
        <f t="array" ref="AF67">TEXT(IF($L$68=1,$X$67,$Y$67),INDEX($M$63:$M$64,$L$68))</f>
        <v>$3.55 m</v>
      </c>
      <c r="AG67" t="str" cm="1">
        <f t="array" ref="AG67">IF(F5=3," ",TEXT(IF($L$68=1,$Z$67,$AA$67),INDEX($M$63:$M$64,$L$68)))</f>
        <v>$1.75 m</v>
      </c>
    </row>
    <row r="68" spans="3:33" x14ac:dyDescent="0.2">
      <c r="C68" s="22" t="s">
        <v>15</v>
      </c>
      <c r="D68">
        <v>3445582</v>
      </c>
      <c r="E68" s="24">
        <v>0.70597317768086809</v>
      </c>
      <c r="H68" s="22" t="s">
        <v>15</v>
      </c>
      <c r="I68" s="46">
        <v>1662178</v>
      </c>
      <c r="J68" s="24">
        <v>0.69377827615333609</v>
      </c>
      <c r="L68">
        <f>_xlfn.XMATCH(L67,sort.options.country.list)</f>
        <v>1</v>
      </c>
      <c r="N68" t="str">
        <v>USA</v>
      </c>
      <c r="O68">
        <v>3445582</v>
      </c>
      <c r="P68">
        <v>0.70597317768086809</v>
      </c>
      <c r="Q68">
        <v>1662178</v>
      </c>
      <c r="R68">
        <v>0.69377827615333609</v>
      </c>
      <c r="W68" t="str">
        <v>USA</v>
      </c>
      <c r="X68">
        <v>3445582</v>
      </c>
      <c r="Y68">
        <v>0.70597317768086809</v>
      </c>
      <c r="Z68">
        <v>1662178</v>
      </c>
      <c r="AA68">
        <v>0.69377827615333609</v>
      </c>
      <c r="AC68">
        <f t="shared" si="4"/>
        <v>6</v>
      </c>
      <c r="AE68" t="str">
        <v>USA</v>
      </c>
      <c r="AF68" t="str" cm="1">
        <f t="array" ref="AF68">TEXT(IF($L$68=1,$X$68,$Y$68),INDEX($M$63:$M$64,$L$68))</f>
        <v>$3.45 m</v>
      </c>
      <c r="AG68" t="str" cm="1">
        <f t="array" ref="AG68">IF(F5=3," ",TEXT(IF($L$68=1,$Z$68,$AA$68),INDEX($M$63:$M$64,$L$68)))</f>
        <v>$1.66 m</v>
      </c>
    </row>
    <row r="71" spans="3:33" x14ac:dyDescent="0.2">
      <c r="AE71" t="s">
        <v>156</v>
      </c>
      <c r="AF71" t="str">
        <f>"COUNTRY "&amp;UPPER(L67)</f>
        <v>COUNTRY SALES</v>
      </c>
    </row>
    <row r="82" spans="3:22" ht="15" x14ac:dyDescent="0.25">
      <c r="C82" s="11" t="s">
        <v>158</v>
      </c>
      <c r="R82" t="s">
        <v>164</v>
      </c>
      <c r="U82" s="38" t="str">
        <f xml:space="preserve"> Dashboard!L38</f>
        <v>Jucies</v>
      </c>
    </row>
    <row r="83" spans="3:22" x14ac:dyDescent="0.2">
      <c r="R83" t="s">
        <v>138</v>
      </c>
      <c r="U83" t="s">
        <v>138</v>
      </c>
    </row>
    <row r="84" spans="3:22" x14ac:dyDescent="0.2">
      <c r="C84" s="21" t="s">
        <v>143</v>
      </c>
      <c r="D84" t="s">
        <v>103</v>
      </c>
      <c r="E84" t="s">
        <v>108</v>
      </c>
      <c r="K84" t="s">
        <v>159</v>
      </c>
      <c r="L84" t="s">
        <v>145</v>
      </c>
      <c r="M84" t="s">
        <v>160</v>
      </c>
      <c r="N84" t="s">
        <v>161</v>
      </c>
      <c r="O84" t="s">
        <v>162</v>
      </c>
      <c r="P84" t="s">
        <v>62</v>
      </c>
      <c r="Q84" t="s">
        <v>165</v>
      </c>
      <c r="R84" t="s">
        <v>166</v>
      </c>
      <c r="U84" t="s">
        <v>167</v>
      </c>
      <c r="V84" t="s">
        <v>97</v>
      </c>
    </row>
    <row r="85" spans="3:22" x14ac:dyDescent="0.2">
      <c r="C85" s="22" t="s">
        <v>76</v>
      </c>
      <c r="D85">
        <v>7887334</v>
      </c>
      <c r="E85" s="23">
        <v>5474425.5558000002</v>
      </c>
      <c r="J85" t="s">
        <v>163</v>
      </c>
      <c r="K85" t="str">
        <f xml:space="preserve"> C85&amp;J85</f>
        <v>Yummies⭐</v>
      </c>
      <c r="L85">
        <f xml:space="preserve"> D85</f>
        <v>7887334</v>
      </c>
      <c r="M85" s="23">
        <f xml:space="preserve"> E85</f>
        <v>5474425.5558000002</v>
      </c>
      <c r="N85">
        <v>1</v>
      </c>
      <c r="O85">
        <v>2</v>
      </c>
      <c r="P85">
        <f xml:space="preserve"> L85</f>
        <v>7887334</v>
      </c>
      <c r="Q85" t="e">
        <f>IF(C85=$U$82,P85,NA())</f>
        <v>#N/A</v>
      </c>
      <c r="R85" t="str">
        <f>TEXT(L85,$R$83)</f>
        <v>$7.89 m</v>
      </c>
      <c r="U85" t="str">
        <f>TEXT(M85,$U$83)</f>
        <v>$5.47 m</v>
      </c>
      <c r="V85" t="str">
        <f>_xlfn.TEXTJOIN(CHAR(10),,K85,R85,U85)</f>
        <v>Yummies⭐
$7.89 m
$5.47 m</v>
      </c>
    </row>
    <row r="86" spans="3:22" x14ac:dyDescent="0.2">
      <c r="C86" s="22" t="s">
        <v>77</v>
      </c>
      <c r="D86">
        <v>6136837</v>
      </c>
      <c r="E86" s="23">
        <v>4225262.9296000022</v>
      </c>
      <c r="K86" t="str">
        <f t="shared" ref="K86:K88" si="5" xml:space="preserve"> C86&amp;J86</f>
        <v>Delish</v>
      </c>
      <c r="L86">
        <f t="shared" ref="L86:L88" si="6" xml:space="preserve"> D86</f>
        <v>6136837</v>
      </c>
      <c r="M86" s="23">
        <f t="shared" ref="M86:M88" si="7" xml:space="preserve"> E86</f>
        <v>4225262.9296000022</v>
      </c>
      <c r="N86">
        <v>2</v>
      </c>
      <c r="O86">
        <v>2</v>
      </c>
      <c r="P86">
        <f t="shared" ref="P86:P88" si="8" xml:space="preserve"> L86</f>
        <v>6136837</v>
      </c>
      <c r="Q86" t="e">
        <f t="shared" ref="Q86:Q88" si="9">IF(C86=$U$82,P86,NA())</f>
        <v>#N/A</v>
      </c>
      <c r="R86" t="str">
        <f t="shared" ref="R86:R88" si="10">TEXT(L86,$R$83)</f>
        <v>$6.14 m</v>
      </c>
      <c r="U86" t="str">
        <f t="shared" ref="U86:U88" si="11">TEXT(M86,$U$83)</f>
        <v>$4.23 m</v>
      </c>
      <c r="V86" t="str">
        <f t="shared" ref="V86:V88" si="12">_xlfn.TEXTJOIN(CHAR(10),,K86,R86,U86)</f>
        <v>Delish
$6.14 m
$4.23 m</v>
      </c>
    </row>
    <row r="87" spans="3:22" x14ac:dyDescent="0.2">
      <c r="C87" s="22" t="s">
        <v>78</v>
      </c>
      <c r="D87">
        <v>4237639</v>
      </c>
      <c r="E87" s="23">
        <v>2912230.4287</v>
      </c>
      <c r="K87" t="str">
        <f t="shared" si="5"/>
        <v>Jucies</v>
      </c>
      <c r="L87">
        <f t="shared" si="6"/>
        <v>4237639</v>
      </c>
      <c r="M87" s="23">
        <f t="shared" si="7"/>
        <v>2912230.4287</v>
      </c>
      <c r="N87">
        <v>1</v>
      </c>
      <c r="O87">
        <v>1</v>
      </c>
      <c r="P87">
        <f t="shared" si="8"/>
        <v>4237639</v>
      </c>
      <c r="Q87">
        <f t="shared" si="9"/>
        <v>4237639</v>
      </c>
      <c r="R87" t="str">
        <f t="shared" si="10"/>
        <v>$4.24 m</v>
      </c>
      <c r="U87" t="str">
        <f t="shared" si="11"/>
        <v>$2.91 m</v>
      </c>
      <c r="V87" t="str">
        <f t="shared" si="12"/>
        <v>Jucies
$4.24 m
$2.91 m</v>
      </c>
    </row>
    <row r="88" spans="3:22" x14ac:dyDescent="0.2">
      <c r="C88" s="22" t="s">
        <v>83</v>
      </c>
      <c r="D88">
        <v>3439912</v>
      </c>
      <c r="E88" s="23">
        <v>2408263.7264</v>
      </c>
      <c r="K88" t="str">
        <f t="shared" si="5"/>
        <v>Tempo</v>
      </c>
      <c r="L88">
        <f t="shared" si="6"/>
        <v>3439912</v>
      </c>
      <c r="M88" s="23">
        <f t="shared" si="7"/>
        <v>2408263.7264</v>
      </c>
      <c r="N88">
        <v>2</v>
      </c>
      <c r="O88">
        <v>1</v>
      </c>
      <c r="P88">
        <f t="shared" si="8"/>
        <v>3439912</v>
      </c>
      <c r="Q88" t="e">
        <f t="shared" si="9"/>
        <v>#N/A</v>
      </c>
      <c r="R88" t="str">
        <f t="shared" si="10"/>
        <v>$3.44 m</v>
      </c>
      <c r="U88" t="str">
        <f t="shared" si="11"/>
        <v>$2.41 m</v>
      </c>
      <c r="V88" t="str">
        <f t="shared" si="12"/>
        <v>Tempo
$3.44 m
$2.41 m</v>
      </c>
    </row>
    <row r="97" spans="3:48" x14ac:dyDescent="0.2">
      <c r="K97" t="s">
        <v>170</v>
      </c>
      <c r="L97">
        <f>MROUND(MAX(L100:L113)*2,100000)</f>
        <v>1800000</v>
      </c>
    </row>
    <row r="98" spans="3:48" ht="15" x14ac:dyDescent="0.25">
      <c r="K98" s="11" t="s">
        <v>168</v>
      </c>
    </row>
    <row r="99" spans="3:48" ht="15" x14ac:dyDescent="0.25">
      <c r="C99" s="21" t="s">
        <v>75</v>
      </c>
      <c r="D99" s="21" t="s">
        <v>74</v>
      </c>
      <c r="E99" t="s">
        <v>103</v>
      </c>
      <c r="F99" t="s">
        <v>108</v>
      </c>
      <c r="G99" t="s">
        <v>109</v>
      </c>
      <c r="K99" t="s">
        <v>1</v>
      </c>
      <c r="L99" t="s">
        <v>5</v>
      </c>
      <c r="M99" t="s">
        <v>169</v>
      </c>
      <c r="N99" t="s">
        <v>132</v>
      </c>
      <c r="Q99" s="11" t="s">
        <v>174</v>
      </c>
      <c r="T99" t="s">
        <v>176</v>
      </c>
      <c r="U99" s="43">
        <f xml:space="preserve"> starting.date.for.trend+1</f>
        <v>44565</v>
      </c>
      <c r="V99" s="43">
        <f xml:space="preserve"> U99+1</f>
        <v>44566</v>
      </c>
      <c r="W99" s="43">
        <f t="shared" ref="W99:AV99" si="13" xml:space="preserve"> V99+1</f>
        <v>44567</v>
      </c>
      <c r="X99" s="43">
        <f t="shared" si="13"/>
        <v>44568</v>
      </c>
      <c r="Y99" s="43">
        <f t="shared" si="13"/>
        <v>44569</v>
      </c>
      <c r="Z99" s="43">
        <f t="shared" si="13"/>
        <v>44570</v>
      </c>
      <c r="AA99" s="43">
        <f t="shared" si="13"/>
        <v>44571</v>
      </c>
      <c r="AB99" s="43">
        <f t="shared" si="13"/>
        <v>44572</v>
      </c>
      <c r="AC99" s="43">
        <f t="shared" si="13"/>
        <v>44573</v>
      </c>
      <c r="AD99" s="43">
        <f t="shared" si="13"/>
        <v>44574</v>
      </c>
      <c r="AE99" s="43">
        <f t="shared" si="13"/>
        <v>44575</v>
      </c>
      <c r="AF99" s="43">
        <f t="shared" si="13"/>
        <v>44576</v>
      </c>
      <c r="AG99" s="43">
        <f t="shared" si="13"/>
        <v>44577</v>
      </c>
      <c r="AH99" s="43">
        <f t="shared" si="13"/>
        <v>44578</v>
      </c>
      <c r="AI99" s="43">
        <f xml:space="preserve"> AH99+1</f>
        <v>44579</v>
      </c>
      <c r="AJ99" s="43">
        <f t="shared" si="13"/>
        <v>44580</v>
      </c>
      <c r="AK99" s="43">
        <f t="shared" si="13"/>
        <v>44581</v>
      </c>
      <c r="AL99" s="43">
        <f t="shared" si="13"/>
        <v>44582</v>
      </c>
      <c r="AM99" s="43">
        <f t="shared" si="13"/>
        <v>44583</v>
      </c>
      <c r="AN99" s="43">
        <f t="shared" si="13"/>
        <v>44584</v>
      </c>
      <c r="AO99" s="43">
        <f t="shared" si="13"/>
        <v>44585</v>
      </c>
      <c r="AP99" s="43">
        <f t="shared" si="13"/>
        <v>44586</v>
      </c>
      <c r="AQ99" s="43">
        <f t="shared" si="13"/>
        <v>44587</v>
      </c>
      <c r="AR99" s="43">
        <f t="shared" si="13"/>
        <v>44588</v>
      </c>
      <c r="AS99" s="43">
        <f t="shared" si="13"/>
        <v>44589</v>
      </c>
      <c r="AT99" s="43">
        <f t="shared" si="13"/>
        <v>44590</v>
      </c>
      <c r="AU99" s="43">
        <f xml:space="preserve"> AT99+1</f>
        <v>44591</v>
      </c>
      <c r="AV99" s="43">
        <f t="shared" si="13"/>
        <v>44592</v>
      </c>
    </row>
    <row r="100" spans="3:48" x14ac:dyDescent="0.2">
      <c r="C100" t="s">
        <v>77</v>
      </c>
      <c r="D100" t="s">
        <v>30</v>
      </c>
      <c r="E100">
        <v>779422</v>
      </c>
      <c r="F100" s="23">
        <v>531164.80779999995</v>
      </c>
      <c r="G100" s="24">
        <v>0.68148552106561011</v>
      </c>
      <c r="K100" t="str" cm="1">
        <f t="array" ref="K100:N104" xml:space="preserve"> _xlfn._xlws.SORT(_xlfn._xlws.FILTER(D100:G139,C100:C139=selected.team),Q122,Q125)</f>
        <v>Madelene Upcott</v>
      </c>
      <c r="L100">
        <v>897554</v>
      </c>
      <c r="M100">
        <v>597610.71669999999</v>
      </c>
      <c r="N100">
        <v>0.66582146221842919</v>
      </c>
      <c r="Q100" t="s">
        <v>175</v>
      </c>
      <c r="T100" t="str" cm="1">
        <f t="array" ref="T100:T104" xml:space="preserve"> INDEX(_xlfn.ANCHORARRAY(K100),,1)</f>
        <v>Madelene Upcott</v>
      </c>
      <c r="U100" cm="1">
        <f t="array" ref="U100:U104">CHOOSE($Q$107,COUNTIFS(sales[Sales Person],_xlfn.ANCHORARRAY($T100),sales[Date],U$99)&gt;0, SUMIFS(sales[Amount],sales[Sales Person],_xlfn.ANCHORARRAY($T100),sales[Date],U$99),  SUMIFS(sales[Boxes],sales[Sales Person],_xlfn.ANCHORARRAY($T100),sales[Date],U$99),COUNTIFS(sales[Sales Person],_xlfn.ANCHORARRAY($T100),sales[Date],U$99))</f>
        <v>2387</v>
      </c>
      <c r="V100" cm="1">
        <f t="array" ref="V100:V104">CHOOSE($Q$107,COUNTIFS(sales[Sales Person],_xlfn.ANCHORARRAY($T100),sales[Date],V$99)&gt;0, SUMIFS(sales[Amount],sales[Sales Person],_xlfn.ANCHORARRAY($T100),sales[Date],V$99),  SUMIFS(sales[Boxes],sales[Sales Person],_xlfn.ANCHORARRAY($T100),sales[Date],V$99),COUNTIFS(sales[Sales Person],_xlfn.ANCHORARRAY($T100),sales[Date],V$99))</f>
        <v>6475</v>
      </c>
      <c r="W100" cm="1">
        <f t="array" ref="W100:W104">CHOOSE($Q$107,COUNTIFS(sales[Sales Person],_xlfn.ANCHORARRAY($T100),sales[Date],W$99)&gt;0, SUMIFS(sales[Amount],sales[Sales Person],_xlfn.ANCHORARRAY($T100),sales[Date],W$99),  SUMIFS(sales[Boxes],sales[Sales Person],_xlfn.ANCHORARRAY($T100),sales[Date],W$99),COUNTIFS(sales[Sales Person],_xlfn.ANCHORARRAY($T100),sales[Date],W$99))</f>
        <v>8288</v>
      </c>
      <c r="X100" cm="1">
        <f t="array" ref="X100:X104">CHOOSE($Q$107,COUNTIFS(sales[Sales Person],_xlfn.ANCHORARRAY($T100),sales[Date],X$99)&gt;0, SUMIFS(sales[Amount],sales[Sales Person],_xlfn.ANCHORARRAY($T100),sales[Date],X$99),  SUMIFS(sales[Boxes],sales[Sales Person],_xlfn.ANCHORARRAY($T100),sales[Date],X$99),COUNTIFS(sales[Sales Person],_xlfn.ANCHORARRAY($T100),sales[Date],X$99))</f>
        <v>13783</v>
      </c>
      <c r="Y100" cm="1">
        <f t="array" ref="Y100:Y104">CHOOSE($Q$107,COUNTIFS(sales[Sales Person],_xlfn.ANCHORARRAY($T100),sales[Date],Y$99)&gt;0, SUMIFS(sales[Amount],sales[Sales Person],_xlfn.ANCHORARRAY($T100),sales[Date],Y$99),  SUMIFS(sales[Boxes],sales[Sales Person],_xlfn.ANCHORARRAY($T100),sales[Date],Y$99),COUNTIFS(sales[Sales Person],_xlfn.ANCHORARRAY($T100),sales[Date],Y$99))</f>
        <v>0</v>
      </c>
      <c r="Z100" cm="1">
        <f t="array" ref="Z100:Z104">CHOOSE($Q$107,COUNTIFS(sales[Sales Person],_xlfn.ANCHORARRAY($T100),sales[Date],Z$99)&gt;0, SUMIFS(sales[Amount],sales[Sales Person],_xlfn.ANCHORARRAY($T100),sales[Date],Z$99),  SUMIFS(sales[Boxes],sales[Sales Person],_xlfn.ANCHORARRAY($T100),sales[Date],Z$99),COUNTIFS(sales[Sales Person],_xlfn.ANCHORARRAY($T100),sales[Date],Z$99))</f>
        <v>0</v>
      </c>
      <c r="AA100" cm="1">
        <f t="array" ref="AA100:AA104">CHOOSE($Q$107,COUNTIFS(sales[Sales Person],_xlfn.ANCHORARRAY($T100),sales[Date],AA$99)&gt;0, SUMIFS(sales[Amount],sales[Sales Person],_xlfn.ANCHORARRAY($T100),sales[Date],AA$99),  SUMIFS(sales[Boxes],sales[Sales Person],_xlfn.ANCHORARRAY($T100),sales[Date],AA$99),COUNTIFS(sales[Sales Person],_xlfn.ANCHORARRAY($T100),sales[Date],AA$99))</f>
        <v>0</v>
      </c>
      <c r="AB100" cm="1">
        <f t="array" ref="AB100:AB104">CHOOSE($Q$107,COUNTIFS(sales[Sales Person],_xlfn.ANCHORARRAY($T100),sales[Date],AB$99)&gt;0, SUMIFS(sales[Amount],sales[Sales Person],_xlfn.ANCHORARRAY($T100),sales[Date],AB$99),  SUMIFS(sales[Boxes],sales[Sales Person],_xlfn.ANCHORARRAY($T100),sales[Date],AB$99),COUNTIFS(sales[Sales Person],_xlfn.ANCHORARRAY($T100),sales[Date],AB$99))</f>
        <v>22484</v>
      </c>
      <c r="AC100" cm="1">
        <f t="array" ref="AC100:AC104">CHOOSE($Q$107,COUNTIFS(sales[Sales Person],_xlfn.ANCHORARRAY($T100),sales[Date],AC$99)&gt;0, SUMIFS(sales[Amount],sales[Sales Person],_xlfn.ANCHORARRAY($T100),sales[Date],AC$99),  SUMIFS(sales[Boxes],sales[Sales Person],_xlfn.ANCHORARRAY($T100),sales[Date],AC$99),COUNTIFS(sales[Sales Person],_xlfn.ANCHORARRAY($T100),sales[Date],AC$99))</f>
        <v>1526</v>
      </c>
      <c r="AD100" cm="1">
        <f t="array" ref="AD100:AD104">CHOOSE($Q$107,COUNTIFS(sales[Sales Person],_xlfn.ANCHORARRAY($T100),sales[Date],AD$99)&gt;0, SUMIFS(sales[Amount],sales[Sales Person],_xlfn.ANCHORARRAY($T100),sales[Date],AD$99),  SUMIFS(sales[Boxes],sales[Sales Person],_xlfn.ANCHORARRAY($T100),sales[Date],AD$99),COUNTIFS(sales[Sales Person],_xlfn.ANCHORARRAY($T100),sales[Date],AD$99))</f>
        <v>18431</v>
      </c>
      <c r="AE100" cm="1">
        <f t="array" ref="AE100:AE104">CHOOSE($Q$107,COUNTIFS(sales[Sales Person],_xlfn.ANCHORARRAY($T100),sales[Date],AE$99)&gt;0, SUMIFS(sales[Amount],sales[Sales Person],_xlfn.ANCHORARRAY($T100),sales[Date],AE$99),  SUMIFS(sales[Boxes],sales[Sales Person],_xlfn.ANCHORARRAY($T100),sales[Date],AE$99),COUNTIFS(sales[Sales Person],_xlfn.ANCHORARRAY($T100),sales[Date],AE$99))</f>
        <v>609</v>
      </c>
      <c r="AF100" cm="1">
        <f t="array" ref="AF100:AF104">CHOOSE($Q$107,COUNTIFS(sales[Sales Person],_xlfn.ANCHORARRAY($T100),sales[Date],AF$99)&gt;0, SUMIFS(sales[Amount],sales[Sales Person],_xlfn.ANCHORARRAY($T100),sales[Date],AF$99),  SUMIFS(sales[Boxes],sales[Sales Person],_xlfn.ANCHORARRAY($T100),sales[Date],AF$99),COUNTIFS(sales[Sales Person],_xlfn.ANCHORARRAY($T100),sales[Date],AF$99))</f>
        <v>0</v>
      </c>
      <c r="AG100" cm="1">
        <f t="array" ref="AG100:AG104">CHOOSE($Q$107,COUNTIFS(sales[Sales Person],_xlfn.ANCHORARRAY($T100),sales[Date],AG$99)&gt;0, SUMIFS(sales[Amount],sales[Sales Person],_xlfn.ANCHORARRAY($T100),sales[Date],AG$99),  SUMIFS(sales[Boxes],sales[Sales Person],_xlfn.ANCHORARRAY($T100),sales[Date],AG$99),COUNTIFS(sales[Sales Person],_xlfn.ANCHORARRAY($T100),sales[Date],AG$99))</f>
        <v>0</v>
      </c>
      <c r="AH100" cm="1">
        <f t="array" ref="AH100:AH104">CHOOSE($Q$107,COUNTIFS(sales[Sales Person],_xlfn.ANCHORARRAY($T100),sales[Date],AH$99)&gt;0, SUMIFS(sales[Amount],sales[Sales Person],_xlfn.ANCHORARRAY($T100),sales[Date],AH$99),  SUMIFS(sales[Boxes],sales[Sales Person],_xlfn.ANCHORARRAY($T100),sales[Date],AH$99),COUNTIFS(sales[Sales Person],_xlfn.ANCHORARRAY($T100),sales[Date],AH$99))</f>
        <v>0</v>
      </c>
      <c r="AI100" cm="1">
        <f t="array" ref="AI100:AI104">CHOOSE($Q$107,COUNTIFS(sales[Sales Person],_xlfn.ANCHORARRAY($T100),sales[Date],AI$99)&gt;0, SUMIFS(sales[Amount],sales[Sales Person],_xlfn.ANCHORARRAY($T100),sales[Date],AI$99),  SUMIFS(sales[Boxes],sales[Sales Person],_xlfn.ANCHORARRAY($T100),sales[Date],AI$99),COUNTIFS(sales[Sales Person],_xlfn.ANCHORARRAY($T100),sales[Date],AI$99))</f>
        <v>14658</v>
      </c>
      <c r="AJ100" cm="1">
        <f t="array" ref="AJ100:AJ104">CHOOSE($Q$107,COUNTIFS(sales[Sales Person],_xlfn.ANCHORARRAY($T100),sales[Date],AJ$99)&gt;0, SUMIFS(sales[Amount],sales[Sales Person],_xlfn.ANCHORARRAY($T100),sales[Date],AJ$99),  SUMIFS(sales[Boxes],sales[Sales Person],_xlfn.ANCHORARRAY($T100),sales[Date],AJ$99),COUNTIFS(sales[Sales Person],_xlfn.ANCHORARRAY($T100),sales[Date],AJ$99))</f>
        <v>22834</v>
      </c>
      <c r="AK100" cm="1">
        <f t="array" ref="AK100:AK104">CHOOSE($Q$107,COUNTIFS(sales[Sales Person],_xlfn.ANCHORARRAY($T100),sales[Date],AK$99)&gt;0, SUMIFS(sales[Amount],sales[Sales Person],_xlfn.ANCHORARRAY($T100),sales[Date],AK$99),  SUMIFS(sales[Boxes],sales[Sales Person],_xlfn.ANCHORARRAY($T100),sales[Date],AK$99),COUNTIFS(sales[Sales Person],_xlfn.ANCHORARRAY($T100),sales[Date],AK$99))</f>
        <v>0</v>
      </c>
      <c r="AL100" cm="1">
        <f t="array" ref="AL100:AL104">CHOOSE($Q$107,COUNTIFS(sales[Sales Person],_xlfn.ANCHORARRAY($T100),sales[Date],AL$99)&gt;0, SUMIFS(sales[Amount],sales[Sales Person],_xlfn.ANCHORARRAY($T100),sales[Date],AL$99),  SUMIFS(sales[Boxes],sales[Sales Person],_xlfn.ANCHORARRAY($T100),sales[Date],AL$99),COUNTIFS(sales[Sales Person],_xlfn.ANCHORARRAY($T100),sales[Date],AL$99))</f>
        <v>9968</v>
      </c>
      <c r="AM100" cm="1">
        <f t="array" ref="AM100:AM104">CHOOSE($Q$107,COUNTIFS(sales[Sales Person],_xlfn.ANCHORARRAY($T100),sales[Date],AM$99)&gt;0, SUMIFS(sales[Amount],sales[Sales Person],_xlfn.ANCHORARRAY($T100),sales[Date],AM$99),  SUMIFS(sales[Boxes],sales[Sales Person],_xlfn.ANCHORARRAY($T100),sales[Date],AM$99),COUNTIFS(sales[Sales Person],_xlfn.ANCHORARRAY($T100),sales[Date],AM$99))</f>
        <v>0</v>
      </c>
      <c r="AN100" cm="1">
        <f t="array" ref="AN100:AN104">CHOOSE($Q$107,COUNTIFS(sales[Sales Person],_xlfn.ANCHORARRAY($T100),sales[Date],AN$99)&gt;0, SUMIFS(sales[Amount],sales[Sales Person],_xlfn.ANCHORARRAY($T100),sales[Date],AN$99),  SUMIFS(sales[Boxes],sales[Sales Person],_xlfn.ANCHORARRAY($T100),sales[Date],AN$99),COUNTIFS(sales[Sales Person],_xlfn.ANCHORARRAY($T100),sales[Date],AN$99))</f>
        <v>0</v>
      </c>
      <c r="AO100" cm="1">
        <f t="array" ref="AO100:AO104">CHOOSE($Q$107,COUNTIFS(sales[Sales Person],_xlfn.ANCHORARRAY($T100),sales[Date],AO$99)&gt;0, SUMIFS(sales[Amount],sales[Sales Person],_xlfn.ANCHORARRAY($T100),sales[Date],AO$99),  SUMIFS(sales[Boxes],sales[Sales Person],_xlfn.ANCHORARRAY($T100),sales[Date],AO$99),COUNTIFS(sales[Sales Person],_xlfn.ANCHORARRAY($T100),sales[Date],AO$99))</f>
        <v>0</v>
      </c>
      <c r="AP100" cm="1">
        <f t="array" ref="AP100:AP104">CHOOSE($Q$107,COUNTIFS(sales[Sales Person],_xlfn.ANCHORARRAY($T100),sales[Date],AP$99)&gt;0, SUMIFS(sales[Amount],sales[Sales Person],_xlfn.ANCHORARRAY($T100),sales[Date],AP$99),  SUMIFS(sales[Boxes],sales[Sales Person],_xlfn.ANCHORARRAY($T100),sales[Date],AP$99),COUNTIFS(sales[Sales Person],_xlfn.ANCHORARRAY($T100),sales[Date],AP$99))</f>
        <v>6111</v>
      </c>
      <c r="AQ100" cm="1">
        <f t="array" ref="AQ100:AQ104">CHOOSE($Q$107,COUNTIFS(sales[Sales Person],_xlfn.ANCHORARRAY($T100),sales[Date],AQ$99)&gt;0, SUMIFS(sales[Amount],sales[Sales Person],_xlfn.ANCHORARRAY($T100),sales[Date],AQ$99),  SUMIFS(sales[Boxes],sales[Sales Person],_xlfn.ANCHORARRAY($T100),sales[Date],AQ$99),COUNTIFS(sales[Sales Person],_xlfn.ANCHORARRAY($T100),sales[Date],AQ$99))</f>
        <v>0</v>
      </c>
      <c r="AR100" cm="1">
        <f t="array" ref="AR100:AR104">CHOOSE($Q$107,COUNTIFS(sales[Sales Person],_xlfn.ANCHORARRAY($T100),sales[Date],AR$99)&gt;0, SUMIFS(sales[Amount],sales[Sales Person],_xlfn.ANCHORARRAY($T100),sales[Date],AR$99),  SUMIFS(sales[Boxes],sales[Sales Person],_xlfn.ANCHORARRAY($T100),sales[Date],AR$99),COUNTIFS(sales[Sales Person],_xlfn.ANCHORARRAY($T100),sales[Date],AR$99))</f>
        <v>0</v>
      </c>
      <c r="AS100" cm="1">
        <f t="array" ref="AS100:AS104">CHOOSE($Q$107,COUNTIFS(sales[Sales Person],_xlfn.ANCHORARRAY($T100),sales[Date],AS$99)&gt;0, SUMIFS(sales[Amount],sales[Sales Person],_xlfn.ANCHORARRAY($T100),sales[Date],AS$99),  SUMIFS(sales[Boxes],sales[Sales Person],_xlfn.ANCHORARRAY($T100),sales[Date],AS$99),COUNTIFS(sales[Sales Person],_xlfn.ANCHORARRAY($T100),sales[Date],AS$99))</f>
        <v>0</v>
      </c>
      <c r="AT100" cm="1">
        <f t="array" ref="AT100:AT104">CHOOSE($Q$107,COUNTIFS(sales[Sales Person],_xlfn.ANCHORARRAY($T100),sales[Date],AT$99)&gt;0, SUMIFS(sales[Amount],sales[Sales Person],_xlfn.ANCHORARRAY($T100),sales[Date],AT$99),  SUMIFS(sales[Boxes],sales[Sales Person],_xlfn.ANCHORARRAY($T100),sales[Date],AT$99),COUNTIFS(sales[Sales Person],_xlfn.ANCHORARRAY($T100),sales[Date],AT$99))</f>
        <v>0</v>
      </c>
      <c r="AU100" cm="1">
        <f t="array" ref="AU100:AU104">CHOOSE($Q$107,COUNTIFS(sales[Sales Person],_xlfn.ANCHORARRAY($T100),sales[Date],AU$99)&gt;0, SUMIFS(sales[Amount],sales[Sales Person],_xlfn.ANCHORARRAY($T100),sales[Date],AU$99),  SUMIFS(sales[Boxes],sales[Sales Person],_xlfn.ANCHORARRAY($T100),sales[Date],AU$99),COUNTIFS(sales[Sales Person],_xlfn.ANCHORARRAY($T100),sales[Date],AU$99))</f>
        <v>0</v>
      </c>
      <c r="AV100" cm="1">
        <f t="array" ref="AV100:AV104">CHOOSE($Q$107,COUNTIFS(sales[Sales Person],_xlfn.ANCHORARRAY($T100),sales[Date],AV$99)&gt;0, SUMIFS(sales[Amount],sales[Sales Person],_xlfn.ANCHORARRAY($T100),sales[Date],AV$99),  SUMIFS(sales[Boxes],sales[Sales Person],_xlfn.ANCHORARRAY($T100),sales[Date],AV$99),COUNTIFS(sales[Sales Person],_xlfn.ANCHORARRAY($T100),sales[Date],AV$99))</f>
        <v>0</v>
      </c>
    </row>
    <row r="101" spans="3:48" x14ac:dyDescent="0.2">
      <c r="C101" t="s">
        <v>77</v>
      </c>
      <c r="D101" t="s">
        <v>25</v>
      </c>
      <c r="E101">
        <v>922635</v>
      </c>
      <c r="F101" s="23">
        <v>619837.69369999971</v>
      </c>
      <c r="G101" s="24">
        <v>0.67181246505931347</v>
      </c>
      <c r="K101" t="str">
        <v>Andria Kimpton</v>
      </c>
      <c r="L101">
        <v>867510</v>
      </c>
      <c r="M101">
        <v>633091.56099999999</v>
      </c>
      <c r="N101">
        <v>0.7297801304884094</v>
      </c>
      <c r="Q101" t="s">
        <v>145</v>
      </c>
      <c r="T101" t="str">
        <v>Andria Kimpton</v>
      </c>
      <c r="U101">
        <v>0</v>
      </c>
      <c r="V101">
        <v>714</v>
      </c>
      <c r="W101">
        <v>0</v>
      </c>
      <c r="X101">
        <v>5761</v>
      </c>
      <c r="Y101">
        <v>0</v>
      </c>
      <c r="Z101">
        <v>0</v>
      </c>
      <c r="AA101">
        <v>10374</v>
      </c>
      <c r="AB101">
        <v>10829</v>
      </c>
      <c r="AC101">
        <v>0</v>
      </c>
      <c r="AD101">
        <v>21490</v>
      </c>
      <c r="AE101">
        <v>8694</v>
      </c>
      <c r="AF101">
        <v>0</v>
      </c>
      <c r="AG101">
        <v>0</v>
      </c>
      <c r="AH101">
        <v>4816</v>
      </c>
      <c r="AI101">
        <v>8512</v>
      </c>
      <c r="AJ101">
        <v>3913</v>
      </c>
      <c r="AK101">
        <v>0</v>
      </c>
      <c r="AL101">
        <v>25242</v>
      </c>
      <c r="AM101">
        <v>0</v>
      </c>
      <c r="AN101">
        <v>0</v>
      </c>
      <c r="AO101">
        <v>0</v>
      </c>
      <c r="AP101">
        <v>0</v>
      </c>
      <c r="AQ101">
        <v>8834</v>
      </c>
      <c r="AR101">
        <v>0</v>
      </c>
      <c r="AS101">
        <v>27265</v>
      </c>
      <c r="AT101">
        <v>0</v>
      </c>
      <c r="AU101">
        <v>0</v>
      </c>
      <c r="AV101">
        <v>0</v>
      </c>
    </row>
    <row r="102" spans="3:48" x14ac:dyDescent="0.2">
      <c r="C102" t="s">
        <v>77</v>
      </c>
      <c r="D102" t="s">
        <v>58</v>
      </c>
      <c r="E102">
        <v>925057</v>
      </c>
      <c r="F102" s="23">
        <v>646165.54050000012</v>
      </c>
      <c r="G102" s="24">
        <v>0.69851429749734351</v>
      </c>
      <c r="K102" t="str">
        <v>Oby Sorrel</v>
      </c>
      <c r="L102">
        <v>860083</v>
      </c>
      <c r="M102">
        <v>572484.34459999995</v>
      </c>
      <c r="N102">
        <v>0.66561523085562668</v>
      </c>
      <c r="Q102" t="s">
        <v>7</v>
      </c>
      <c r="T102" t="str">
        <v>Oby Sorrel</v>
      </c>
      <c r="U102">
        <v>10472</v>
      </c>
      <c r="V102">
        <v>7651</v>
      </c>
      <c r="W102">
        <v>14777</v>
      </c>
      <c r="X102">
        <v>4585</v>
      </c>
      <c r="Y102">
        <v>0</v>
      </c>
      <c r="Z102">
        <v>0</v>
      </c>
      <c r="AA102">
        <v>0</v>
      </c>
      <c r="AB102">
        <v>14105</v>
      </c>
      <c r="AC102">
        <v>3339</v>
      </c>
      <c r="AD102">
        <v>0</v>
      </c>
      <c r="AE102">
        <v>2765</v>
      </c>
      <c r="AF102">
        <v>0</v>
      </c>
      <c r="AG102">
        <v>0</v>
      </c>
      <c r="AH102">
        <v>0</v>
      </c>
      <c r="AI102">
        <v>0</v>
      </c>
      <c r="AJ102">
        <v>3857</v>
      </c>
      <c r="AK102">
        <v>0</v>
      </c>
      <c r="AL102">
        <v>4977</v>
      </c>
      <c r="AM102">
        <v>0</v>
      </c>
      <c r="AN102">
        <v>0</v>
      </c>
      <c r="AO102">
        <v>0</v>
      </c>
      <c r="AP102">
        <v>4599</v>
      </c>
      <c r="AQ102">
        <v>10633</v>
      </c>
      <c r="AR102">
        <v>0</v>
      </c>
      <c r="AS102">
        <v>0</v>
      </c>
      <c r="AT102">
        <v>0</v>
      </c>
      <c r="AU102">
        <v>0</v>
      </c>
      <c r="AV102">
        <v>0</v>
      </c>
    </row>
    <row r="103" spans="3:48" x14ac:dyDescent="0.2">
      <c r="C103" t="s">
        <v>77</v>
      </c>
      <c r="D103" t="s">
        <v>54</v>
      </c>
      <c r="E103">
        <v>780038</v>
      </c>
      <c r="F103" s="23">
        <v>536614.89100000006</v>
      </c>
      <c r="G103" s="24">
        <v>0.68793429422669161</v>
      </c>
      <c r="K103" t="str">
        <v>Beverie Moffet</v>
      </c>
      <c r="L103">
        <v>817572</v>
      </c>
      <c r="M103">
        <v>579961.52909999993</v>
      </c>
      <c r="N103">
        <v>0.70937058644376261</v>
      </c>
      <c r="Q103" t="s">
        <v>131</v>
      </c>
      <c r="T103" t="str">
        <v>Beverie Moffet</v>
      </c>
      <c r="U103">
        <v>0</v>
      </c>
      <c r="V103">
        <v>0</v>
      </c>
      <c r="W103">
        <v>11858</v>
      </c>
      <c r="X103">
        <v>7868</v>
      </c>
      <c r="Y103">
        <v>0</v>
      </c>
      <c r="Z103">
        <v>0</v>
      </c>
      <c r="AA103">
        <v>5495</v>
      </c>
      <c r="AB103">
        <v>0</v>
      </c>
      <c r="AC103">
        <v>0</v>
      </c>
      <c r="AD103">
        <v>1883</v>
      </c>
      <c r="AE103">
        <v>182</v>
      </c>
      <c r="AF103">
        <v>0</v>
      </c>
      <c r="AG103">
        <v>0</v>
      </c>
      <c r="AH103">
        <v>4319</v>
      </c>
      <c r="AI103">
        <v>0</v>
      </c>
      <c r="AJ103">
        <v>1981</v>
      </c>
      <c r="AK103">
        <v>0</v>
      </c>
      <c r="AL103">
        <v>19810</v>
      </c>
      <c r="AM103">
        <v>0</v>
      </c>
      <c r="AN103">
        <v>0</v>
      </c>
      <c r="AO103">
        <v>6790</v>
      </c>
      <c r="AP103">
        <v>18319</v>
      </c>
      <c r="AQ103">
        <v>980</v>
      </c>
      <c r="AR103">
        <v>0</v>
      </c>
      <c r="AS103">
        <v>11662</v>
      </c>
      <c r="AT103">
        <v>0</v>
      </c>
      <c r="AU103">
        <v>0</v>
      </c>
      <c r="AV103">
        <v>0</v>
      </c>
    </row>
    <row r="104" spans="3:48" x14ac:dyDescent="0.2">
      <c r="C104" t="s">
        <v>77</v>
      </c>
      <c r="D104" t="s">
        <v>53</v>
      </c>
      <c r="E104">
        <v>828058</v>
      </c>
      <c r="F104" s="23">
        <v>563721.84470000002</v>
      </c>
      <c r="G104" s="24">
        <v>0.68077579674370636</v>
      </c>
      <c r="K104" t="str">
        <v>Brien Boise</v>
      </c>
      <c r="L104">
        <v>794920</v>
      </c>
      <c r="M104">
        <v>529082.27729999996</v>
      </c>
      <c r="N104">
        <v>0.6655792750213857</v>
      </c>
      <c r="T104" t="str">
        <v>Brien Boise</v>
      </c>
      <c r="U104">
        <v>10710</v>
      </c>
      <c r="V104">
        <v>3731</v>
      </c>
      <c r="W104">
        <v>1715</v>
      </c>
      <c r="X104">
        <v>14161</v>
      </c>
      <c r="Y104">
        <v>0</v>
      </c>
      <c r="Z104">
        <v>0</v>
      </c>
      <c r="AA104">
        <v>10451</v>
      </c>
      <c r="AB104">
        <v>17612</v>
      </c>
      <c r="AC104">
        <v>0</v>
      </c>
      <c r="AD104">
        <v>17297</v>
      </c>
      <c r="AE104">
        <v>23037</v>
      </c>
      <c r="AF104">
        <v>0</v>
      </c>
      <c r="AG104">
        <v>0</v>
      </c>
      <c r="AH104">
        <v>0</v>
      </c>
      <c r="AI104">
        <v>16226</v>
      </c>
      <c r="AJ104">
        <v>0</v>
      </c>
      <c r="AK104">
        <v>8113</v>
      </c>
      <c r="AL104">
        <v>0</v>
      </c>
      <c r="AM104">
        <v>0</v>
      </c>
      <c r="AN104">
        <v>0</v>
      </c>
      <c r="AO104">
        <v>13209</v>
      </c>
      <c r="AP104">
        <v>0</v>
      </c>
      <c r="AQ104">
        <v>0</v>
      </c>
      <c r="AR104">
        <v>0</v>
      </c>
      <c r="AS104">
        <v>7112</v>
      </c>
      <c r="AT104">
        <v>0</v>
      </c>
      <c r="AU104">
        <v>0</v>
      </c>
      <c r="AV104">
        <v>0</v>
      </c>
    </row>
    <row r="105" spans="3:48" ht="15" x14ac:dyDescent="0.25">
      <c r="C105" t="s">
        <v>77</v>
      </c>
      <c r="D105" t="s">
        <v>59</v>
      </c>
      <c r="E105">
        <v>957047</v>
      </c>
      <c r="F105" s="23">
        <v>671941.45200000005</v>
      </c>
      <c r="G105" s="24">
        <v>0.70209869734715225</v>
      </c>
      <c r="Q105" s="11" t="s">
        <v>135</v>
      </c>
    </row>
    <row r="106" spans="3:48" x14ac:dyDescent="0.2">
      <c r="C106" t="s">
        <v>77</v>
      </c>
      <c r="D106" t="s">
        <v>33</v>
      </c>
      <c r="E106">
        <v>944580</v>
      </c>
      <c r="F106" s="23">
        <v>655816.69989999989</v>
      </c>
      <c r="G106" s="24">
        <v>0.69429450115395186</v>
      </c>
      <c r="Q106" s="12" t="str">
        <f xml:space="preserve"> Dashboard!O22</f>
        <v>Sales</v>
      </c>
    </row>
    <row r="107" spans="3:48" x14ac:dyDescent="0.2">
      <c r="C107" t="s">
        <v>78</v>
      </c>
      <c r="D107" t="s">
        <v>41</v>
      </c>
      <c r="E107">
        <v>867510</v>
      </c>
      <c r="F107" s="23">
        <v>633091.56099999999</v>
      </c>
      <c r="G107" s="24">
        <v>0.7297801304884094</v>
      </c>
      <c r="Q107">
        <f xml:space="preserve"> _xlfn.XMATCH(Q106,graph.options)</f>
        <v>2</v>
      </c>
    </row>
    <row r="108" spans="3:48" x14ac:dyDescent="0.2">
      <c r="C108" t="s">
        <v>78</v>
      </c>
      <c r="D108" t="s">
        <v>18</v>
      </c>
      <c r="E108">
        <v>817572</v>
      </c>
      <c r="F108" s="23">
        <v>579961.52909999993</v>
      </c>
      <c r="G108" s="24">
        <v>0.70937058644376261</v>
      </c>
    </row>
    <row r="109" spans="3:48" x14ac:dyDescent="0.2">
      <c r="C109" t="s">
        <v>78</v>
      </c>
      <c r="D109" t="s">
        <v>28</v>
      </c>
      <c r="E109">
        <v>794920</v>
      </c>
      <c r="F109" s="23">
        <v>529082.27729999996</v>
      </c>
      <c r="G109" s="24">
        <v>0.6655792750213857</v>
      </c>
    </row>
    <row r="110" spans="3:48" x14ac:dyDescent="0.2">
      <c r="C110" t="s">
        <v>78</v>
      </c>
      <c r="D110" t="s">
        <v>32</v>
      </c>
      <c r="E110">
        <v>897554</v>
      </c>
      <c r="F110" s="23">
        <v>597610.71669999999</v>
      </c>
      <c r="G110" s="24">
        <v>0.66582146221842919</v>
      </c>
    </row>
    <row r="111" spans="3:48" x14ac:dyDescent="0.2">
      <c r="C111" t="s">
        <v>78</v>
      </c>
      <c r="D111" t="s">
        <v>23</v>
      </c>
      <c r="E111">
        <v>860083</v>
      </c>
      <c r="F111" s="23">
        <v>572484.34459999995</v>
      </c>
      <c r="G111" s="24">
        <v>0.66561523085562668</v>
      </c>
    </row>
    <row r="112" spans="3:48" x14ac:dyDescent="0.2">
      <c r="C112" t="s">
        <v>83</v>
      </c>
      <c r="D112" t="s">
        <v>39</v>
      </c>
      <c r="E112">
        <v>798868</v>
      </c>
      <c r="F112" s="23">
        <v>558631.26149999991</v>
      </c>
      <c r="G112" s="24">
        <v>0.6992785560317849</v>
      </c>
    </row>
    <row r="113" spans="3:19" x14ac:dyDescent="0.2">
      <c r="C113" t="s">
        <v>83</v>
      </c>
      <c r="D113" t="s">
        <v>56</v>
      </c>
      <c r="E113">
        <v>884835</v>
      </c>
      <c r="F113" s="23">
        <v>621603.34939999995</v>
      </c>
      <c r="G113" s="24">
        <v>0.70250764198974947</v>
      </c>
      <c r="S113" t="s">
        <v>180</v>
      </c>
    </row>
    <row r="114" spans="3:19" ht="15" x14ac:dyDescent="0.25">
      <c r="C114" t="s">
        <v>83</v>
      </c>
      <c r="D114" t="s">
        <v>34</v>
      </c>
      <c r="E114">
        <v>895363</v>
      </c>
      <c r="F114" s="23">
        <v>616665.12589999987</v>
      </c>
      <c r="G114" s="24">
        <v>0.68873197340073233</v>
      </c>
      <c r="P114" s="11" t="s">
        <v>178</v>
      </c>
      <c r="Q114" s="11" t="s">
        <v>144</v>
      </c>
      <c r="S114" s="11" t="s">
        <v>181</v>
      </c>
    </row>
    <row r="115" spans="3:19" x14ac:dyDescent="0.2">
      <c r="C115" t="s">
        <v>83</v>
      </c>
      <c r="D115" t="s">
        <v>60</v>
      </c>
      <c r="E115">
        <v>860846</v>
      </c>
      <c r="F115" s="23">
        <v>611363.98959999997</v>
      </c>
      <c r="G115" s="24">
        <v>0.7101897314966904</v>
      </c>
      <c r="P115" t="str" cm="1">
        <f t="array" ref="P115:P118" xml:space="preserve"> _xlfn._xlws.SORT(_xlfn.UNIQUE(people[Team]))</f>
        <v>Delish</v>
      </c>
      <c r="Q115" t="s">
        <v>1</v>
      </c>
      <c r="S115" t="str">
        <f>Q115&amp;IF($Q$121=$Q$115,$S$113,"")</f>
        <v>Sales Person</v>
      </c>
    </row>
    <row r="116" spans="3:19" x14ac:dyDescent="0.2">
      <c r="C116" t="s">
        <v>76</v>
      </c>
      <c r="D116" t="s">
        <v>8</v>
      </c>
      <c r="E116">
        <v>886375</v>
      </c>
      <c r="F116" s="23">
        <v>609886.89379999996</v>
      </c>
      <c r="G116" s="24">
        <v>0.68806869981666896</v>
      </c>
      <c r="P116" t="str">
        <v>Jucies</v>
      </c>
      <c r="Q116" t="s">
        <v>145</v>
      </c>
      <c r="S116" t="str">
        <f>Q116&amp;IF($Q$121=$Q$116,$S$113,"")</f>
        <v>Sales⬇️</v>
      </c>
    </row>
    <row r="117" spans="3:19" x14ac:dyDescent="0.2">
      <c r="C117" t="s">
        <v>76</v>
      </c>
      <c r="D117" t="s">
        <v>11</v>
      </c>
      <c r="E117">
        <v>890708</v>
      </c>
      <c r="F117" s="23">
        <v>597186.40569999989</v>
      </c>
      <c r="G117" s="24">
        <v>0.6704626046919977</v>
      </c>
      <c r="P117" t="str">
        <v>Tempo</v>
      </c>
      <c r="Q117" t="s">
        <v>160</v>
      </c>
      <c r="S117" t="str">
        <f>Q117&amp;IF($Q$121=$Q$117,$S$113,"")</f>
        <v>Profit</v>
      </c>
    </row>
    <row r="118" spans="3:19" x14ac:dyDescent="0.2">
      <c r="C118" t="s">
        <v>76</v>
      </c>
      <c r="D118" t="s">
        <v>57</v>
      </c>
      <c r="E118">
        <v>913325</v>
      </c>
      <c r="F118" s="23">
        <v>640549.34090000007</v>
      </c>
      <c r="G118" s="24">
        <v>0.70133779421345088</v>
      </c>
      <c r="P118" t="str">
        <v>Yummies</v>
      </c>
      <c r="Q118" t="s">
        <v>132</v>
      </c>
      <c r="S118" t="str">
        <f>Q118&amp;IF($Q$121=$Q$118,$S$113,"")</f>
        <v>Profit %</v>
      </c>
    </row>
    <row r="119" spans="3:19" x14ac:dyDescent="0.2">
      <c r="C119" t="s">
        <v>76</v>
      </c>
      <c r="D119" t="s">
        <v>47</v>
      </c>
      <c r="E119">
        <v>779044</v>
      </c>
      <c r="F119" s="23">
        <v>544767.5064999999</v>
      </c>
      <c r="G119" s="24">
        <v>0.69927694263738616</v>
      </c>
    </row>
    <row r="120" spans="3:19" ht="15" x14ac:dyDescent="0.25">
      <c r="C120" t="s">
        <v>76</v>
      </c>
      <c r="D120" t="s">
        <v>14</v>
      </c>
      <c r="E120">
        <v>963956</v>
      </c>
      <c r="F120" s="23">
        <v>669657.29139999999</v>
      </c>
      <c r="G120" s="24">
        <v>0.69469694820095518</v>
      </c>
      <c r="Q120" s="11" t="s">
        <v>135</v>
      </c>
    </row>
    <row r="121" spans="3:19" x14ac:dyDescent="0.2">
      <c r="C121" t="s">
        <v>76</v>
      </c>
      <c r="D121" t="s">
        <v>44</v>
      </c>
      <c r="E121">
        <v>889602</v>
      </c>
      <c r="F121" s="23">
        <v>592612.33100000001</v>
      </c>
      <c r="G121" s="24">
        <v>0.66615444996751361</v>
      </c>
      <c r="Q121" s="38" t="str">
        <f xml:space="preserve"> Dashboard!N38</f>
        <v>Sales</v>
      </c>
    </row>
    <row r="122" spans="3:19" x14ac:dyDescent="0.2">
      <c r="C122" t="s">
        <v>76</v>
      </c>
      <c r="D122" t="s">
        <v>52</v>
      </c>
      <c r="E122">
        <v>797629</v>
      </c>
      <c r="F122" s="23">
        <v>546390.15619999997</v>
      </c>
      <c r="G122" s="24">
        <v>0.68501791710181048</v>
      </c>
      <c r="Q122">
        <f xml:space="preserve"> _xlfn.XMATCH(Q121,sort.options.for.people.table)</f>
        <v>2</v>
      </c>
    </row>
    <row r="123" spans="3:19" x14ac:dyDescent="0.2">
      <c r="C123" t="s">
        <v>76</v>
      </c>
      <c r="D123" t="s">
        <v>20</v>
      </c>
      <c r="E123">
        <v>903616</v>
      </c>
      <c r="F123" s="23">
        <v>646552.99309999996</v>
      </c>
      <c r="G123" s="24">
        <v>0.71551742454759537</v>
      </c>
    </row>
    <row r="124" spans="3:19" ht="15" x14ac:dyDescent="0.25">
      <c r="C124" t="s">
        <v>76</v>
      </c>
      <c r="D124" t="s">
        <v>48</v>
      </c>
      <c r="E124">
        <v>863079</v>
      </c>
      <c r="F124" s="23">
        <v>626822.6372</v>
      </c>
      <c r="G124" s="24">
        <v>0.72626333997235482</v>
      </c>
      <c r="Q124" s="11" t="s">
        <v>177</v>
      </c>
    </row>
    <row r="125" spans="3:19" x14ac:dyDescent="0.2">
      <c r="Q125">
        <f>IF(Q122=1,1,-1)</f>
        <v>-1</v>
      </c>
    </row>
    <row r="149" spans="3:20" ht="15" x14ac:dyDescent="0.25">
      <c r="R149" s="11" t="s">
        <v>186</v>
      </c>
    </row>
    <row r="150" spans="3:20" x14ac:dyDescent="0.2">
      <c r="K150" t="s">
        <v>183</v>
      </c>
      <c r="R150" t="s">
        <v>187</v>
      </c>
      <c r="S150" t="s">
        <v>138</v>
      </c>
    </row>
    <row r="151" spans="3:20" ht="15" x14ac:dyDescent="0.25">
      <c r="C151" s="21" t="s">
        <v>61</v>
      </c>
      <c r="D151" t="s">
        <v>108</v>
      </c>
      <c r="E151" t="s">
        <v>109</v>
      </c>
      <c r="F151" t="s">
        <v>103</v>
      </c>
      <c r="J151" s="11" t="s">
        <v>182</v>
      </c>
      <c r="K151" s="11" t="s">
        <v>61</v>
      </c>
      <c r="L151" s="11" t="s">
        <v>184</v>
      </c>
      <c r="M151" s="11" t="s">
        <v>132</v>
      </c>
      <c r="N151" s="11" t="s">
        <v>185</v>
      </c>
      <c r="O151" s="11" t="s">
        <v>160</v>
      </c>
      <c r="P151" s="11" t="s">
        <v>5</v>
      </c>
      <c r="R151" s="11" t="s">
        <v>160</v>
      </c>
      <c r="S151" s="11" t="s">
        <v>5</v>
      </c>
      <c r="T151" s="11" t="s">
        <v>188</v>
      </c>
    </row>
    <row r="152" spans="3:20" x14ac:dyDescent="0.2">
      <c r="C152" t="s">
        <v>64</v>
      </c>
      <c r="D152" s="23">
        <v>7410059.0173999965</v>
      </c>
      <c r="E152" s="24">
        <v>0.68967125628528858</v>
      </c>
      <c r="F152" s="45">
        <v>10744335</v>
      </c>
      <c r="J152">
        <f>COUNTIFS($C$5:$C$10,C152)</f>
        <v>1</v>
      </c>
      <c r="K152" t="str">
        <f xml:space="preserve"> C152&amp;IF(J152,$K$150,"")</f>
        <v>Bars⏺️</v>
      </c>
      <c r="L152">
        <v>1</v>
      </c>
      <c r="M152" s="26">
        <f xml:space="preserve"> GETPIVOTDATA("[Measures].[Profit Percentage]",$C$151,"[products].[Category]","[products].[Category].&amp;[Bars]")</f>
        <v>0.68967125628528858</v>
      </c>
      <c r="N152" s="27">
        <f xml:space="preserve"> 1 - M152</f>
        <v>0.31032874371471142</v>
      </c>
      <c r="O152" s="23">
        <f xml:space="preserve"> GETPIVOTDATA("[Measures].[Total Profit]",$C$151,"[products].[Category]","[products].[Category].&amp;[Bars]")</f>
        <v>7410059.0173999965</v>
      </c>
      <c r="P152" s="23">
        <f xml:space="preserve"> GETPIVOTDATA("[Measures].[Sum of Amount]",$C$151,"[products].[Category]","[products].[Category].&amp;[Bars]")</f>
        <v>10744335</v>
      </c>
      <c r="R152" t="str">
        <f>TEXT(O152,$R$150)</f>
        <v>$7.41</v>
      </c>
      <c r="S152" t="str">
        <f xml:space="preserve"> TEXT(P152,$S$150)</f>
        <v>$10.74 m</v>
      </c>
      <c r="T152" t="str">
        <f xml:space="preserve"> R152&amp;"/"&amp;S152</f>
        <v>$7.41/$10.74 m</v>
      </c>
    </row>
    <row r="153" spans="3:20" x14ac:dyDescent="0.2">
      <c r="C153" t="s">
        <v>66</v>
      </c>
      <c r="D153" s="23">
        <v>4267036.0657000057</v>
      </c>
      <c r="E153" s="24">
        <v>0.60270394769867852</v>
      </c>
      <c r="F153" s="45">
        <v>7079821</v>
      </c>
      <c r="J153">
        <f t="shared" ref="J153:J154" si="14">COUNTIFS($C$5:$C$10,C153)</f>
        <v>0</v>
      </c>
      <c r="K153" t="str">
        <f t="shared" ref="K153:K154" si="15" xml:space="preserve"> C153&amp;IF(J153,$K$150,"")</f>
        <v>Bites</v>
      </c>
      <c r="L153">
        <v>1</v>
      </c>
      <c r="M153" s="26">
        <f xml:space="preserve"> GETPIVOTDATA("[Measures].[Profit Percentage]",$C$151,"[products].[Category]","[products].[Category].&amp;[Bites]")</f>
        <v>0.60270394769867852</v>
      </c>
      <c r="N153" s="27">
        <f t="shared" ref="N153:N154" si="16" xml:space="preserve"> 1 - M153</f>
        <v>0.39729605230132148</v>
      </c>
      <c r="O153" s="23">
        <f xml:space="preserve"> D153</f>
        <v>4267036.0657000057</v>
      </c>
      <c r="P153" s="23">
        <f xml:space="preserve"> GETPIVOTDATA("[Measures].[Sum of Amount]",$C$151,"[products].[Category]","[products].[Category].&amp;[Bites]")</f>
        <v>7079821</v>
      </c>
      <c r="R153" t="str">
        <f t="shared" ref="R153:R154" si="17">TEXT(O153,$R$150)</f>
        <v>$4.27</v>
      </c>
      <c r="S153" t="str">
        <f t="shared" ref="S153:S154" si="18" xml:space="preserve"> TEXT(P153,$S$150)</f>
        <v>$7.08 m</v>
      </c>
      <c r="T153" t="str">
        <f t="shared" ref="T153:T154" si="19" xml:space="preserve"> R153&amp;"/"&amp;S153</f>
        <v>$4.27/$7.08 m</v>
      </c>
    </row>
    <row r="154" spans="3:20" x14ac:dyDescent="0.2">
      <c r="C154" t="s">
        <v>67</v>
      </c>
      <c r="D154" s="23">
        <v>3343087.5573999998</v>
      </c>
      <c r="E154" s="24">
        <v>0.86216135519034354</v>
      </c>
      <c r="F154" s="45">
        <v>3877566</v>
      </c>
      <c r="J154">
        <f t="shared" si="14"/>
        <v>0</v>
      </c>
      <c r="K154" t="str">
        <f t="shared" si="15"/>
        <v>Other</v>
      </c>
      <c r="L154">
        <v>1</v>
      </c>
      <c r="M154" s="26">
        <f xml:space="preserve"> GETPIVOTDATA("[Measures].[Profit Percentage]",$C$151,"[products].[Category]","[products].[Category].&amp;[Other]")</f>
        <v>0.86216135519034354</v>
      </c>
      <c r="N154" s="27">
        <f t="shared" si="16"/>
        <v>0.13783864480965646</v>
      </c>
      <c r="O154" s="23">
        <f xml:space="preserve"> D154</f>
        <v>3343087.5573999998</v>
      </c>
      <c r="P154" s="23">
        <f xml:space="preserve"> GETPIVOTDATA("[Measures].[Sum of Amount]",$C$151,"[products].[Category]","[products].[Category].&amp;[Other]")</f>
        <v>3877566</v>
      </c>
      <c r="R154" t="str">
        <f t="shared" si="17"/>
        <v>$3.34</v>
      </c>
      <c r="S154" t="str">
        <f t="shared" si="18"/>
        <v>$3.88 m</v>
      </c>
      <c r="T154" t="str">
        <f t="shared" si="19"/>
        <v>$3.34/$3.88 m</v>
      </c>
    </row>
    <row r="167" spans="3:61" ht="15" x14ac:dyDescent="0.25">
      <c r="AI167" s="11" t="s">
        <v>198</v>
      </c>
    </row>
    <row r="168" spans="3:61" x14ac:dyDescent="0.2">
      <c r="AI168" s="38" t="str">
        <f xml:space="preserve"> Dashboard!W14</f>
        <v>Shipments</v>
      </c>
    </row>
    <row r="169" spans="3:61" ht="15" x14ac:dyDescent="0.25">
      <c r="Q169">
        <f xml:space="preserve"> MROUND(MAX(Q172:Q193)*2,100000)</f>
        <v>2200000</v>
      </c>
      <c r="AG169" s="11" t="s">
        <v>197</v>
      </c>
      <c r="AI169">
        <f xml:space="preserve"> _xlfn.XMATCH(AI168,graph.options)</f>
        <v>4</v>
      </c>
    </row>
    <row r="170" spans="3:61" ht="15" x14ac:dyDescent="0.25">
      <c r="L170" t="s">
        <v>180</v>
      </c>
      <c r="O170" t="s">
        <v>193</v>
      </c>
      <c r="W170" s="11" t="s">
        <v>195</v>
      </c>
    </row>
    <row r="171" spans="3:61" ht="15" x14ac:dyDescent="0.25">
      <c r="C171" s="21" t="s">
        <v>61</v>
      </c>
      <c r="D171" s="21" t="s">
        <v>3</v>
      </c>
      <c r="E171" t="s">
        <v>103</v>
      </c>
      <c r="F171" t="s">
        <v>104</v>
      </c>
      <c r="G171" t="s">
        <v>106</v>
      </c>
      <c r="H171" t="s">
        <v>109</v>
      </c>
      <c r="K171" s="11" t="s">
        <v>144</v>
      </c>
      <c r="L171" s="11" t="s">
        <v>181</v>
      </c>
      <c r="N171" s="11" t="s">
        <v>194</v>
      </c>
      <c r="O171" s="11" t="s">
        <v>61</v>
      </c>
      <c r="P171" s="11" t="s">
        <v>3</v>
      </c>
      <c r="Q171" s="11" t="s">
        <v>103</v>
      </c>
      <c r="R171" s="11" t="s">
        <v>104</v>
      </c>
      <c r="S171" s="11" t="s">
        <v>106</v>
      </c>
      <c r="T171" s="11" t="s">
        <v>132</v>
      </c>
      <c r="W171" t="str" cm="1">
        <f t="array" ref="W171:AA171">TRANSPOSE(L172:L176)</f>
        <v>Product</v>
      </c>
      <c r="X171" t="str">
        <v>Sales</v>
      </c>
      <c r="Y171" t="str">
        <v>Boxes⬇️</v>
      </c>
      <c r="Z171" t="str">
        <v>Shipments</v>
      </c>
      <c r="AA171" t="str">
        <v>Profit %</v>
      </c>
      <c r="AB171" t="s">
        <v>196</v>
      </c>
      <c r="AG171" t="s">
        <v>3</v>
      </c>
      <c r="AH171" s="43">
        <f xml:space="preserve"> starting.date.for.trend+1</f>
        <v>44565</v>
      </c>
      <c r="AI171" s="43">
        <f xml:space="preserve"> AH171+1</f>
        <v>44566</v>
      </c>
      <c r="AJ171" s="43">
        <f t="shared" ref="AJ171" si="20" xml:space="preserve"> AI171+1</f>
        <v>44567</v>
      </c>
      <c r="AK171" s="43">
        <f t="shared" ref="AK171" si="21" xml:space="preserve"> AJ171+1</f>
        <v>44568</v>
      </c>
      <c r="AL171" s="43">
        <f t="shared" ref="AL171" si="22" xml:space="preserve"> AK171+1</f>
        <v>44569</v>
      </c>
      <c r="AM171" s="43">
        <f t="shared" ref="AM171" si="23" xml:space="preserve"> AL171+1</f>
        <v>44570</v>
      </c>
      <c r="AN171" s="43">
        <f t="shared" ref="AN171" si="24" xml:space="preserve"> AM171+1</f>
        <v>44571</v>
      </c>
      <c r="AO171" s="43">
        <f t="shared" ref="AO171" si="25" xml:space="preserve"> AN171+1</f>
        <v>44572</v>
      </c>
      <c r="AP171" s="43">
        <f t="shared" ref="AP171" si="26" xml:space="preserve"> AO171+1</f>
        <v>44573</v>
      </c>
      <c r="AQ171" s="43">
        <f t="shared" ref="AQ171" si="27" xml:space="preserve"> AP171+1</f>
        <v>44574</v>
      </c>
      <c r="AR171" s="43">
        <f t="shared" ref="AR171" si="28" xml:space="preserve"> AQ171+1</f>
        <v>44575</v>
      </c>
      <c r="AS171" s="43">
        <f t="shared" ref="AS171" si="29" xml:space="preserve"> AR171+1</f>
        <v>44576</v>
      </c>
      <c r="AT171" s="43">
        <f t="shared" ref="AT171" si="30" xml:space="preserve"> AS171+1</f>
        <v>44577</v>
      </c>
      <c r="AU171" s="43">
        <f t="shared" ref="AU171" si="31" xml:space="preserve"> AT171+1</f>
        <v>44578</v>
      </c>
      <c r="AV171" s="43">
        <f xml:space="preserve"> AU171+1</f>
        <v>44579</v>
      </c>
      <c r="AW171" s="43">
        <f t="shared" ref="AW171" si="32" xml:space="preserve"> AV171+1</f>
        <v>44580</v>
      </c>
      <c r="AX171" s="43">
        <f t="shared" ref="AX171" si="33" xml:space="preserve"> AW171+1</f>
        <v>44581</v>
      </c>
      <c r="AY171" s="43">
        <f t="shared" ref="AY171" si="34" xml:space="preserve"> AX171+1</f>
        <v>44582</v>
      </c>
      <c r="AZ171" s="43">
        <f t="shared" ref="AZ171" si="35" xml:space="preserve"> AY171+1</f>
        <v>44583</v>
      </c>
      <c r="BA171" s="43">
        <f t="shared" ref="BA171" si="36" xml:space="preserve"> AZ171+1</f>
        <v>44584</v>
      </c>
      <c r="BB171" s="43">
        <f t="shared" ref="BB171" si="37" xml:space="preserve"> BA171+1</f>
        <v>44585</v>
      </c>
      <c r="BC171" s="43">
        <f t="shared" ref="BC171" si="38" xml:space="preserve"> BB171+1</f>
        <v>44586</v>
      </c>
      <c r="BD171" s="43">
        <f t="shared" ref="BD171" si="39" xml:space="preserve"> BC171+1</f>
        <v>44587</v>
      </c>
      <c r="BE171" s="43">
        <f t="shared" ref="BE171" si="40" xml:space="preserve"> BD171+1</f>
        <v>44588</v>
      </c>
      <c r="BF171" s="43">
        <f t="shared" ref="BF171" si="41" xml:space="preserve"> BE171+1</f>
        <v>44589</v>
      </c>
      <c r="BG171" s="43">
        <f t="shared" ref="BG171" si="42" xml:space="preserve"> BF171+1</f>
        <v>44590</v>
      </c>
      <c r="BH171" s="43">
        <f xml:space="preserve"> BG171+1</f>
        <v>44591</v>
      </c>
      <c r="BI171" s="43">
        <f t="shared" ref="BI171" si="43" xml:space="preserve"> BH171+1</f>
        <v>44592</v>
      </c>
    </row>
    <row r="172" spans="3:61" x14ac:dyDescent="0.2">
      <c r="C172" t="s">
        <v>64</v>
      </c>
      <c r="D172" t="s">
        <v>22</v>
      </c>
      <c r="E172" s="46">
        <v>1015994</v>
      </c>
      <c r="F172" s="46">
        <v>66004</v>
      </c>
      <c r="G172" s="47">
        <v>174</v>
      </c>
      <c r="H172" s="24">
        <v>0.95479738738614595</v>
      </c>
      <c r="K172" t="s">
        <v>3</v>
      </c>
      <c r="L172" t="str">
        <f xml:space="preserve"> K172&amp;IF(K172=$L$179,$L$170,"")</f>
        <v>Product</v>
      </c>
      <c r="N172">
        <f xml:space="preserve"> COUNTIFS($C$5:$C$7,O172)</f>
        <v>1</v>
      </c>
      <c r="O172" t="str" cm="1">
        <f t="array" ref="O172:T193" xml:space="preserve"> C172:H193</f>
        <v>Bars</v>
      </c>
      <c r="P172" t="str">
        <v>85% Dark Bars</v>
      </c>
      <c r="Q172">
        <v>1015994</v>
      </c>
      <c r="R172">
        <v>66004</v>
      </c>
      <c r="S172">
        <v>174</v>
      </c>
      <c r="T172">
        <v>0.95479738738614595</v>
      </c>
      <c r="W172" t="str" cm="1">
        <f t="array" ref="W172:AA193" xml:space="preserve"> _xlfn.SORTBY(P172:T193,N172:N193,-1,INDEX(P172:T193,,L184),L180)</f>
        <v>Orange Choco</v>
      </c>
      <c r="X172">
        <v>946099</v>
      </c>
      <c r="Y172">
        <v>96847</v>
      </c>
      <c r="Z172">
        <v>175</v>
      </c>
      <c r="AA172">
        <v>0.10052268420112455</v>
      </c>
      <c r="AB172" cm="1">
        <f t="array" ref="AB172:AB193" xml:space="preserve"> _xlfn.SORTBY(N172:N193,N172:N193,-1,INDEX(P172:T193,,L184),L180)</f>
        <v>1</v>
      </c>
      <c r="AG172" t="str" cm="1">
        <f t="array" ref="AG172:AG193" xml:space="preserve"> W172:W193</f>
        <v>Orange Choco</v>
      </c>
      <c r="AH172" cm="1">
        <f t="array" ref="AH172:AH193">CHOOSE($AI$169, COUNTIFS(sales[Product],_xlfn.ANCHORARRAY($AG$172),sales[Date],AH$171)&gt;0, SUMIFS(sales[Amount],sales[Product],_xlfn.ANCHORARRAY($AG$172),sales[Date],AH$171),SUMIFS(sales[Boxes],sales[Product],_xlfn.ANCHORARRAY($AG$172),sales[Date],AH$171),COUNTIFS(sales[Product],_xlfn.ANCHORARRAY($AG$172),sales[Date],AH$171))</f>
        <v>2</v>
      </c>
      <c r="AI172" cm="1">
        <f t="array" ref="AI172:AI193">CHOOSE($AI$169, COUNTIFS(sales[Product],_xlfn.ANCHORARRAY($AG$172),sales[Date],AI$171)&gt;0, SUMIFS(sales[Amount],sales[Product],_xlfn.ANCHORARRAY($AG$172),sales[Date],AI$171),SUMIFS(sales[Boxes],sales[Product],_xlfn.ANCHORARRAY($AG$172),sales[Date],AI$171),COUNTIFS(sales[Product],_xlfn.ANCHORARRAY($AG$172),sales[Date],AI$171))</f>
        <v>2</v>
      </c>
      <c r="AJ172" cm="1">
        <f t="array" ref="AJ172:AJ193">CHOOSE($AI$169, COUNTIFS(sales[Product],_xlfn.ANCHORARRAY($AG$172),sales[Date],AJ$171)&gt;0, SUMIFS(sales[Amount],sales[Product],_xlfn.ANCHORARRAY($AG$172),sales[Date],AJ$171),SUMIFS(sales[Boxes],sales[Product],_xlfn.ANCHORARRAY($AG$172),sales[Date],AJ$171),COUNTIFS(sales[Product],_xlfn.ANCHORARRAY($AG$172),sales[Date],AJ$171))</f>
        <v>0</v>
      </c>
      <c r="AK172" cm="1">
        <f t="array" ref="AK172:AK193">CHOOSE($AI$169, COUNTIFS(sales[Product],_xlfn.ANCHORARRAY($AG$172),sales[Date],AK$171)&gt;0, SUMIFS(sales[Amount],sales[Product],_xlfn.ANCHORARRAY($AG$172),sales[Date],AK$171),SUMIFS(sales[Boxes],sales[Product],_xlfn.ANCHORARRAY($AG$172),sales[Date],AK$171),COUNTIFS(sales[Product],_xlfn.ANCHORARRAY($AG$172),sales[Date],AK$171))</f>
        <v>2</v>
      </c>
      <c r="AL172" cm="1">
        <f t="array" ref="AL172:AL193">CHOOSE($AI$169, COUNTIFS(sales[Product],_xlfn.ANCHORARRAY($AG$172),sales[Date],AL$171)&gt;0, SUMIFS(sales[Amount],sales[Product],_xlfn.ANCHORARRAY($AG$172),sales[Date],AL$171),SUMIFS(sales[Boxes],sales[Product],_xlfn.ANCHORARRAY($AG$172),sales[Date],AL$171),COUNTIFS(sales[Product],_xlfn.ANCHORARRAY($AG$172),sales[Date],AL$171))</f>
        <v>0</v>
      </c>
      <c r="AM172" cm="1">
        <f t="array" ref="AM172:AM193">CHOOSE($AI$169, COUNTIFS(sales[Product],_xlfn.ANCHORARRAY($AG$172),sales[Date],AM$171)&gt;0, SUMIFS(sales[Amount],sales[Product],_xlfn.ANCHORARRAY($AG$172),sales[Date],AM$171),SUMIFS(sales[Boxes],sales[Product],_xlfn.ANCHORARRAY($AG$172),sales[Date],AM$171),COUNTIFS(sales[Product],_xlfn.ANCHORARRAY($AG$172),sales[Date],AM$171))</f>
        <v>0</v>
      </c>
      <c r="AN172" cm="1">
        <f t="array" ref="AN172:AN193">CHOOSE($AI$169, COUNTIFS(sales[Product],_xlfn.ANCHORARRAY($AG$172),sales[Date],AN$171)&gt;0, SUMIFS(sales[Amount],sales[Product],_xlfn.ANCHORARRAY($AG$172),sales[Date],AN$171),SUMIFS(sales[Boxes],sales[Product],_xlfn.ANCHORARRAY($AG$172),sales[Date],AN$171),COUNTIFS(sales[Product],_xlfn.ANCHORARRAY($AG$172),sales[Date],AN$171))</f>
        <v>1</v>
      </c>
      <c r="AO172" cm="1">
        <f t="array" ref="AO172:AO193">CHOOSE($AI$169, COUNTIFS(sales[Product],_xlfn.ANCHORARRAY($AG$172),sales[Date],AO$171)&gt;0, SUMIFS(sales[Amount],sales[Product],_xlfn.ANCHORARRAY($AG$172),sales[Date],AO$171),SUMIFS(sales[Boxes],sales[Product],_xlfn.ANCHORARRAY($AG$172),sales[Date],AO$171),COUNTIFS(sales[Product],_xlfn.ANCHORARRAY($AG$172),sales[Date],AO$171))</f>
        <v>0</v>
      </c>
      <c r="AP172" cm="1">
        <f t="array" ref="AP172:AP193">CHOOSE($AI$169, COUNTIFS(sales[Product],_xlfn.ANCHORARRAY($AG$172),sales[Date],AP$171)&gt;0, SUMIFS(sales[Amount],sales[Product],_xlfn.ANCHORARRAY($AG$172),sales[Date],AP$171),SUMIFS(sales[Boxes],sales[Product],_xlfn.ANCHORARRAY($AG$172),sales[Date],AP$171),COUNTIFS(sales[Product],_xlfn.ANCHORARRAY($AG$172),sales[Date],AP$171))</f>
        <v>0</v>
      </c>
      <c r="AQ172" cm="1">
        <f t="array" ref="AQ172:AQ193">CHOOSE($AI$169, COUNTIFS(sales[Product],_xlfn.ANCHORARRAY($AG$172),sales[Date],AQ$171)&gt;0, SUMIFS(sales[Amount],sales[Product],_xlfn.ANCHORARRAY($AG$172),sales[Date],AQ$171),SUMIFS(sales[Boxes],sales[Product],_xlfn.ANCHORARRAY($AG$172),sales[Date],AQ$171),COUNTIFS(sales[Product],_xlfn.ANCHORARRAY($AG$172),sales[Date],AQ$171))</f>
        <v>4</v>
      </c>
      <c r="AR172" cm="1">
        <f t="array" ref="AR172:AR193">CHOOSE($AI$169, COUNTIFS(sales[Product],_xlfn.ANCHORARRAY($AG$172),sales[Date],AR$171)&gt;0, SUMIFS(sales[Amount],sales[Product],_xlfn.ANCHORARRAY($AG$172),sales[Date],AR$171),SUMIFS(sales[Boxes],sales[Product],_xlfn.ANCHORARRAY($AG$172),sales[Date],AR$171),COUNTIFS(sales[Product],_xlfn.ANCHORARRAY($AG$172),sales[Date],AR$171))</f>
        <v>1</v>
      </c>
      <c r="AS172" cm="1">
        <f t="array" ref="AS172:AS193">CHOOSE($AI$169, COUNTIFS(sales[Product],_xlfn.ANCHORARRAY($AG$172),sales[Date],AS$171)&gt;0, SUMIFS(sales[Amount],sales[Product],_xlfn.ANCHORARRAY($AG$172),sales[Date],AS$171),SUMIFS(sales[Boxes],sales[Product],_xlfn.ANCHORARRAY($AG$172),sales[Date],AS$171),COUNTIFS(sales[Product],_xlfn.ANCHORARRAY($AG$172),sales[Date],AS$171))</f>
        <v>0</v>
      </c>
      <c r="AT172" cm="1">
        <f t="array" ref="AT172:AT193">CHOOSE($AI$169, COUNTIFS(sales[Product],_xlfn.ANCHORARRAY($AG$172),sales[Date],AT$171)&gt;0, SUMIFS(sales[Amount],sales[Product],_xlfn.ANCHORARRAY($AG$172),sales[Date],AT$171),SUMIFS(sales[Boxes],sales[Product],_xlfn.ANCHORARRAY($AG$172),sales[Date],AT$171),COUNTIFS(sales[Product],_xlfn.ANCHORARRAY($AG$172),sales[Date],AT$171))</f>
        <v>0</v>
      </c>
      <c r="AU172" cm="1">
        <f t="array" ref="AU172:AU193">CHOOSE($AI$169, COUNTIFS(sales[Product],_xlfn.ANCHORARRAY($AG$172),sales[Date],AU$171)&gt;0, SUMIFS(sales[Amount],sales[Product],_xlfn.ANCHORARRAY($AG$172),sales[Date],AU$171),SUMIFS(sales[Boxes],sales[Product],_xlfn.ANCHORARRAY($AG$172),sales[Date],AU$171),COUNTIFS(sales[Product],_xlfn.ANCHORARRAY($AG$172),sales[Date],AU$171))</f>
        <v>0</v>
      </c>
      <c r="AV172" cm="1">
        <f t="array" ref="AV172:AV193">CHOOSE($AI$169, COUNTIFS(sales[Product],_xlfn.ANCHORARRAY($AG$172),sales[Date],AV$171)&gt;0, SUMIFS(sales[Amount],sales[Product],_xlfn.ANCHORARRAY($AG$172),sales[Date],AV$171),SUMIFS(sales[Boxes],sales[Product],_xlfn.ANCHORARRAY($AG$172),sales[Date],AV$171),COUNTIFS(sales[Product],_xlfn.ANCHORARRAY($AG$172),sales[Date],AV$171))</f>
        <v>1</v>
      </c>
      <c r="AW172" cm="1">
        <f t="array" ref="AW172:AW193">CHOOSE($AI$169, COUNTIFS(sales[Product],_xlfn.ANCHORARRAY($AG$172),sales[Date],AW$171)&gt;0, SUMIFS(sales[Amount],sales[Product],_xlfn.ANCHORARRAY($AG$172),sales[Date],AW$171),SUMIFS(sales[Boxes],sales[Product],_xlfn.ANCHORARRAY($AG$172),sales[Date],AW$171),COUNTIFS(sales[Product],_xlfn.ANCHORARRAY($AG$172),sales[Date],AW$171))</f>
        <v>1</v>
      </c>
      <c r="AX172" cm="1">
        <f t="array" ref="AX172:AX193">CHOOSE($AI$169, COUNTIFS(sales[Product],_xlfn.ANCHORARRAY($AG$172),sales[Date],AX$171)&gt;0, SUMIFS(sales[Amount],sales[Product],_xlfn.ANCHORARRAY($AG$172),sales[Date],AX$171),SUMIFS(sales[Boxes],sales[Product],_xlfn.ANCHORARRAY($AG$172),sales[Date],AX$171),COUNTIFS(sales[Product],_xlfn.ANCHORARRAY($AG$172),sales[Date],AX$171))</f>
        <v>0</v>
      </c>
      <c r="AY172" cm="1">
        <f t="array" ref="AY172:AY193">CHOOSE($AI$169, COUNTIFS(sales[Product],_xlfn.ANCHORARRAY($AG$172),sales[Date],AY$171)&gt;0, SUMIFS(sales[Amount],sales[Product],_xlfn.ANCHORARRAY($AG$172),sales[Date],AY$171),SUMIFS(sales[Boxes],sales[Product],_xlfn.ANCHORARRAY($AG$172),sales[Date],AY$171),COUNTIFS(sales[Product],_xlfn.ANCHORARRAY($AG$172),sales[Date],AY$171))</f>
        <v>4</v>
      </c>
      <c r="AZ172" cm="1">
        <f t="array" ref="AZ172:AZ193">CHOOSE($AI$169, COUNTIFS(sales[Product],_xlfn.ANCHORARRAY($AG$172),sales[Date],AZ$171)&gt;0, SUMIFS(sales[Amount],sales[Product],_xlfn.ANCHORARRAY($AG$172),sales[Date],AZ$171),SUMIFS(sales[Boxes],sales[Product],_xlfn.ANCHORARRAY($AG$172),sales[Date],AZ$171),COUNTIFS(sales[Product],_xlfn.ANCHORARRAY($AG$172),sales[Date],AZ$171))</f>
        <v>0</v>
      </c>
      <c r="BA172" cm="1">
        <f t="array" ref="BA172:BA193">CHOOSE($AI$169, COUNTIFS(sales[Product],_xlfn.ANCHORARRAY($AG$172),sales[Date],BA$171)&gt;0, SUMIFS(sales[Amount],sales[Product],_xlfn.ANCHORARRAY($AG$172),sales[Date],BA$171),SUMIFS(sales[Boxes],sales[Product],_xlfn.ANCHORARRAY($AG$172),sales[Date],BA$171),COUNTIFS(sales[Product],_xlfn.ANCHORARRAY($AG$172),sales[Date],BA$171))</f>
        <v>0</v>
      </c>
      <c r="BB172" cm="1">
        <f t="array" ref="BB172:BB193">CHOOSE($AI$169, COUNTIFS(sales[Product],_xlfn.ANCHORARRAY($AG$172),sales[Date],BB$171)&gt;0, SUMIFS(sales[Amount],sales[Product],_xlfn.ANCHORARRAY($AG$172),sales[Date],BB$171),SUMIFS(sales[Boxes],sales[Product],_xlfn.ANCHORARRAY($AG$172),sales[Date],BB$171),COUNTIFS(sales[Product],_xlfn.ANCHORARRAY($AG$172),sales[Date],BB$171))</f>
        <v>1</v>
      </c>
      <c r="BC172" cm="1">
        <f t="array" ref="BC172:BC193">CHOOSE($AI$169, COUNTIFS(sales[Product],_xlfn.ANCHORARRAY($AG$172),sales[Date],BC$171)&gt;0, SUMIFS(sales[Amount],sales[Product],_xlfn.ANCHORARRAY($AG$172),sales[Date],BC$171),SUMIFS(sales[Boxes],sales[Product],_xlfn.ANCHORARRAY($AG$172),sales[Date],BC$171),COUNTIFS(sales[Product],_xlfn.ANCHORARRAY($AG$172),sales[Date],BC$171))</f>
        <v>3</v>
      </c>
      <c r="BD172" cm="1">
        <f t="array" ref="BD172:BD193">CHOOSE($AI$169, COUNTIFS(sales[Product],_xlfn.ANCHORARRAY($AG$172),sales[Date],BD$171)&gt;0, SUMIFS(sales[Amount],sales[Product],_xlfn.ANCHORARRAY($AG$172),sales[Date],BD$171),SUMIFS(sales[Boxes],sales[Product],_xlfn.ANCHORARRAY($AG$172),sales[Date],BD$171),COUNTIFS(sales[Product],_xlfn.ANCHORARRAY($AG$172),sales[Date],BD$171))</f>
        <v>1</v>
      </c>
      <c r="BE172" cm="1">
        <f t="array" ref="BE172:BE193">CHOOSE($AI$169, COUNTIFS(sales[Product],_xlfn.ANCHORARRAY($AG$172),sales[Date],BE$171)&gt;0, SUMIFS(sales[Amount],sales[Product],_xlfn.ANCHORARRAY($AG$172),sales[Date],BE$171),SUMIFS(sales[Boxes],sales[Product],_xlfn.ANCHORARRAY($AG$172),sales[Date],BE$171),COUNTIFS(sales[Product],_xlfn.ANCHORARRAY($AG$172),sales[Date],BE$171))</f>
        <v>1</v>
      </c>
      <c r="BF172" cm="1">
        <f t="array" ref="BF172:BF193">CHOOSE($AI$169, COUNTIFS(sales[Product],_xlfn.ANCHORARRAY($AG$172),sales[Date],BF$171)&gt;0, SUMIFS(sales[Amount],sales[Product],_xlfn.ANCHORARRAY($AG$172),sales[Date],BF$171),SUMIFS(sales[Boxes],sales[Product],_xlfn.ANCHORARRAY($AG$172),sales[Date],BF$171),COUNTIFS(sales[Product],_xlfn.ANCHORARRAY($AG$172),sales[Date],BF$171))</f>
        <v>1</v>
      </c>
      <c r="BG172" cm="1">
        <f t="array" ref="BG172:BG193">CHOOSE($AI$169, COUNTIFS(sales[Product],_xlfn.ANCHORARRAY($AG$172),sales[Date],BG$171)&gt;0, SUMIFS(sales[Amount],sales[Product],_xlfn.ANCHORARRAY($AG$172),sales[Date],BG$171),SUMIFS(sales[Boxes],sales[Product],_xlfn.ANCHORARRAY($AG$172),sales[Date],BG$171),COUNTIFS(sales[Product],_xlfn.ANCHORARRAY($AG$172),sales[Date],BG$171))</f>
        <v>0</v>
      </c>
      <c r="BH172" cm="1">
        <f t="array" ref="BH172:BH193">CHOOSE($AI$169, COUNTIFS(sales[Product],_xlfn.ANCHORARRAY($AG$172),sales[Date],BH$171)&gt;0, SUMIFS(sales[Amount],sales[Product],_xlfn.ANCHORARRAY($AG$172),sales[Date],BH$171),SUMIFS(sales[Boxes],sales[Product],_xlfn.ANCHORARRAY($AG$172),sales[Date],BH$171),COUNTIFS(sales[Product],_xlfn.ANCHORARRAY($AG$172),sales[Date],BH$171))</f>
        <v>0</v>
      </c>
      <c r="BI172" cm="1">
        <f t="array" ref="BI172:BI193">CHOOSE($AI$169, COUNTIFS(sales[Product],_xlfn.ANCHORARRAY($AG$172),sales[Date],BI$171)&gt;0, SUMIFS(sales[Amount],sales[Product],_xlfn.ANCHORARRAY($AG$172),sales[Date],BI$171),SUMIFS(sales[Boxes],sales[Product],_xlfn.ANCHORARRAY($AG$172),sales[Date],BI$171),COUNTIFS(sales[Product],_xlfn.ANCHORARRAY($AG$172),sales[Date],BI$171))</f>
        <v>0</v>
      </c>
    </row>
    <row r="173" spans="3:61" x14ac:dyDescent="0.2">
      <c r="C173" t="s">
        <v>64</v>
      </c>
      <c r="D173" t="s">
        <v>16</v>
      </c>
      <c r="E173" s="46">
        <v>1089312</v>
      </c>
      <c r="F173" s="46">
        <v>60878</v>
      </c>
      <c r="G173" s="47">
        <v>179</v>
      </c>
      <c r="H173" s="24">
        <v>0.73961291383919403</v>
      </c>
      <c r="K173" t="s">
        <v>145</v>
      </c>
      <c r="L173" t="str">
        <f t="shared" ref="L173:L176" si="44" xml:space="preserve"> K173&amp;IF(K173=$L$179,$L$170,"")</f>
        <v>Sales</v>
      </c>
      <c r="N173">
        <f t="shared" ref="N173:N193" si="45" xml:space="preserve"> COUNTIFS($C$5:$C$7,O173)</f>
        <v>1</v>
      </c>
      <c r="O173" t="str">
        <v>Bars</v>
      </c>
      <c r="P173" t="str">
        <v>99% Dark &amp; Pure</v>
      </c>
      <c r="Q173">
        <v>1089312</v>
      </c>
      <c r="R173">
        <v>60878</v>
      </c>
      <c r="S173">
        <v>179</v>
      </c>
      <c r="T173">
        <v>0.73961291383919403</v>
      </c>
      <c r="W173" t="str">
        <v>Baker's Choco Chips</v>
      </c>
      <c r="X173">
        <v>932491</v>
      </c>
      <c r="Y173">
        <v>75226</v>
      </c>
      <c r="Z173">
        <v>173</v>
      </c>
      <c r="AA173">
        <v>0.50942493965089186</v>
      </c>
      <c r="AB173">
        <v>1</v>
      </c>
      <c r="AG173" t="str">
        <v>Baker's Choco Chips</v>
      </c>
      <c r="AH173">
        <v>0</v>
      </c>
      <c r="AI173">
        <v>1</v>
      </c>
      <c r="AJ173">
        <v>1</v>
      </c>
      <c r="AK173">
        <v>3</v>
      </c>
      <c r="AL173">
        <v>0</v>
      </c>
      <c r="AM173">
        <v>0</v>
      </c>
      <c r="AN173">
        <v>2</v>
      </c>
      <c r="AO173">
        <v>3</v>
      </c>
      <c r="AP173">
        <v>1</v>
      </c>
      <c r="AQ173">
        <v>1</v>
      </c>
      <c r="AR173">
        <v>1</v>
      </c>
      <c r="AS173">
        <v>0</v>
      </c>
      <c r="AT173">
        <v>0</v>
      </c>
      <c r="AU173">
        <v>0</v>
      </c>
      <c r="AV173">
        <v>1</v>
      </c>
      <c r="AW173">
        <v>0</v>
      </c>
      <c r="AX173">
        <v>0</v>
      </c>
      <c r="AY173">
        <v>2</v>
      </c>
      <c r="AZ173">
        <v>0</v>
      </c>
      <c r="BA173">
        <v>0</v>
      </c>
      <c r="BB173">
        <v>1</v>
      </c>
      <c r="BC173">
        <v>1</v>
      </c>
      <c r="BD173">
        <v>2</v>
      </c>
      <c r="BE173">
        <v>0</v>
      </c>
      <c r="BF173">
        <v>2</v>
      </c>
      <c r="BG173">
        <v>0</v>
      </c>
      <c r="BH173">
        <v>0</v>
      </c>
      <c r="BI173">
        <v>0</v>
      </c>
    </row>
    <row r="174" spans="3:61" x14ac:dyDescent="0.2">
      <c r="C174" t="s">
        <v>64</v>
      </c>
      <c r="D174" t="s">
        <v>51</v>
      </c>
      <c r="E174" s="46">
        <v>995050</v>
      </c>
      <c r="F174" s="46">
        <v>52337</v>
      </c>
      <c r="G174" s="47">
        <v>168</v>
      </c>
      <c r="H174" s="24">
        <v>0.29790418119692502</v>
      </c>
      <c r="K174" t="s">
        <v>7</v>
      </c>
      <c r="L174" t="str">
        <f t="shared" si="44"/>
        <v>Boxes⬇️</v>
      </c>
      <c r="N174">
        <f t="shared" si="45"/>
        <v>1</v>
      </c>
      <c r="O174" t="str">
        <v>Bars</v>
      </c>
      <c r="P174" t="str">
        <v>Almond Choco</v>
      </c>
      <c r="Q174">
        <v>995050</v>
      </c>
      <c r="R174">
        <v>52337</v>
      </c>
      <c r="S174">
        <v>168</v>
      </c>
      <c r="T174">
        <v>0.29790418119692502</v>
      </c>
      <c r="W174" t="str">
        <v>Fruit &amp; Nut Bars</v>
      </c>
      <c r="X174">
        <v>943551</v>
      </c>
      <c r="Y174">
        <v>74319</v>
      </c>
      <c r="Z174">
        <v>172</v>
      </c>
      <c r="AA174">
        <v>0.87448762547016545</v>
      </c>
      <c r="AB174">
        <v>1</v>
      </c>
      <c r="AG174" t="str">
        <v>Fruit &amp; Nut Bars</v>
      </c>
      <c r="AH174">
        <v>2</v>
      </c>
      <c r="AI174">
        <v>0</v>
      </c>
      <c r="AJ174">
        <v>1</v>
      </c>
      <c r="AK174">
        <v>0</v>
      </c>
      <c r="AL174">
        <v>0</v>
      </c>
      <c r="AM174">
        <v>0</v>
      </c>
      <c r="AN174">
        <v>0</v>
      </c>
      <c r="AO174">
        <v>1</v>
      </c>
      <c r="AP174">
        <v>0</v>
      </c>
      <c r="AQ174">
        <v>1</v>
      </c>
      <c r="AR174">
        <v>3</v>
      </c>
      <c r="AS174">
        <v>0</v>
      </c>
      <c r="AT174">
        <v>0</v>
      </c>
      <c r="AU174">
        <v>0</v>
      </c>
      <c r="AV174">
        <v>0</v>
      </c>
      <c r="AW174">
        <v>0</v>
      </c>
      <c r="AX174">
        <v>1</v>
      </c>
      <c r="AY174">
        <v>0</v>
      </c>
      <c r="AZ174">
        <v>0</v>
      </c>
      <c r="BA174">
        <v>0</v>
      </c>
      <c r="BB174">
        <v>2</v>
      </c>
      <c r="BC174">
        <v>3</v>
      </c>
      <c r="BD174">
        <v>3</v>
      </c>
      <c r="BE174">
        <v>2</v>
      </c>
      <c r="BF174">
        <v>2</v>
      </c>
      <c r="BG174">
        <v>0</v>
      </c>
      <c r="BH174">
        <v>0</v>
      </c>
      <c r="BI174">
        <v>0</v>
      </c>
    </row>
    <row r="175" spans="3:61" x14ac:dyDescent="0.2">
      <c r="C175" t="s">
        <v>64</v>
      </c>
      <c r="D175" t="s">
        <v>17</v>
      </c>
      <c r="E175" s="46">
        <v>932491</v>
      </c>
      <c r="F175" s="46">
        <v>75226</v>
      </c>
      <c r="G175" s="47">
        <v>173</v>
      </c>
      <c r="H175" s="24">
        <v>0.50942493965089186</v>
      </c>
      <c r="K175" t="s">
        <v>131</v>
      </c>
      <c r="L175" t="str">
        <f t="shared" si="44"/>
        <v>Shipments</v>
      </c>
      <c r="N175">
        <f t="shared" si="45"/>
        <v>1</v>
      </c>
      <c r="O175" t="str">
        <v>Bars</v>
      </c>
      <c r="P175" t="str">
        <v>Baker's Choco Chips</v>
      </c>
      <c r="Q175">
        <v>932491</v>
      </c>
      <c r="R175">
        <v>75226</v>
      </c>
      <c r="S175">
        <v>173</v>
      </c>
      <c r="T175">
        <v>0.50942493965089186</v>
      </c>
      <c r="W175" t="str">
        <v>85% Dark Bars</v>
      </c>
      <c r="X175">
        <v>1015994</v>
      </c>
      <c r="Y175">
        <v>66004</v>
      </c>
      <c r="Z175">
        <v>174</v>
      </c>
      <c r="AA175">
        <v>0.95479738738614595</v>
      </c>
      <c r="AB175">
        <v>1</v>
      </c>
      <c r="AG175" t="str">
        <v>85% Dark Bars</v>
      </c>
      <c r="AH175">
        <v>0</v>
      </c>
      <c r="AI175">
        <v>0</v>
      </c>
      <c r="AJ175">
        <v>0</v>
      </c>
      <c r="AK175">
        <v>2</v>
      </c>
      <c r="AL175">
        <v>0</v>
      </c>
      <c r="AM175">
        <v>0</v>
      </c>
      <c r="AN175">
        <v>3</v>
      </c>
      <c r="AO175">
        <v>0</v>
      </c>
      <c r="AP175">
        <v>1</v>
      </c>
      <c r="AQ175">
        <v>3</v>
      </c>
      <c r="AR175">
        <v>0</v>
      </c>
      <c r="AS175">
        <v>0</v>
      </c>
      <c r="AT175">
        <v>0</v>
      </c>
      <c r="AU175">
        <v>1</v>
      </c>
      <c r="AV175">
        <v>4</v>
      </c>
      <c r="AW175">
        <v>4</v>
      </c>
      <c r="AX175">
        <v>0</v>
      </c>
      <c r="AY175">
        <v>2</v>
      </c>
      <c r="AZ175">
        <v>0</v>
      </c>
      <c r="BA175">
        <v>0</v>
      </c>
      <c r="BB175">
        <v>2</v>
      </c>
      <c r="BC175">
        <v>1</v>
      </c>
      <c r="BD175">
        <v>1</v>
      </c>
      <c r="BE175">
        <v>0</v>
      </c>
      <c r="BF175">
        <v>0</v>
      </c>
      <c r="BG175">
        <v>0</v>
      </c>
      <c r="BH175">
        <v>0</v>
      </c>
      <c r="BI175">
        <v>0</v>
      </c>
    </row>
    <row r="176" spans="3:61" x14ac:dyDescent="0.2">
      <c r="C176" t="s">
        <v>64</v>
      </c>
      <c r="D176" t="s">
        <v>29</v>
      </c>
      <c r="E176" s="46">
        <v>994021</v>
      </c>
      <c r="F176" s="46">
        <v>48730</v>
      </c>
      <c r="G176" s="47">
        <v>175</v>
      </c>
      <c r="H176" s="24">
        <v>0.95592822485641649</v>
      </c>
      <c r="K176" t="s">
        <v>132</v>
      </c>
      <c r="L176" t="str">
        <f t="shared" si="44"/>
        <v>Profit %</v>
      </c>
      <c r="N176">
        <f t="shared" si="45"/>
        <v>1</v>
      </c>
      <c r="O176" t="str">
        <v>Bars</v>
      </c>
      <c r="P176" t="str">
        <v>Caramel Stuffed Bars</v>
      </c>
      <c r="Q176">
        <v>994021</v>
      </c>
      <c r="R176">
        <v>48730</v>
      </c>
      <c r="S176">
        <v>175</v>
      </c>
      <c r="T176">
        <v>0.95592822485641649</v>
      </c>
      <c r="W176" t="str">
        <v>Smooth Sliky Salty</v>
      </c>
      <c r="X176">
        <v>990794</v>
      </c>
      <c r="Y176">
        <v>61790</v>
      </c>
      <c r="Z176">
        <v>170</v>
      </c>
      <c r="AA176">
        <v>0.68694456970873874</v>
      </c>
      <c r="AB176">
        <v>1</v>
      </c>
      <c r="AG176" t="str">
        <v>Smooth Sliky Salty</v>
      </c>
      <c r="AH176">
        <v>1</v>
      </c>
      <c r="AI176">
        <v>1</v>
      </c>
      <c r="AJ176">
        <v>2</v>
      </c>
      <c r="AK176">
        <v>1</v>
      </c>
      <c r="AL176">
        <v>0</v>
      </c>
      <c r="AM176">
        <v>0</v>
      </c>
      <c r="AN176">
        <v>1</v>
      </c>
      <c r="AO176">
        <v>1</v>
      </c>
      <c r="AP176">
        <v>0</v>
      </c>
      <c r="AQ176">
        <v>1</v>
      </c>
      <c r="AR176">
        <v>2</v>
      </c>
      <c r="AS176">
        <v>0</v>
      </c>
      <c r="AT176">
        <v>0</v>
      </c>
      <c r="AU176">
        <v>0</v>
      </c>
      <c r="AV176">
        <v>0</v>
      </c>
      <c r="AW176">
        <v>2</v>
      </c>
      <c r="AX176">
        <v>0</v>
      </c>
      <c r="AY176">
        <v>2</v>
      </c>
      <c r="AZ176">
        <v>0</v>
      </c>
      <c r="BA176">
        <v>0</v>
      </c>
      <c r="BB176">
        <v>4</v>
      </c>
      <c r="BC176">
        <v>1</v>
      </c>
      <c r="BD176">
        <v>0</v>
      </c>
      <c r="BE176">
        <v>0</v>
      </c>
      <c r="BF176">
        <v>1</v>
      </c>
      <c r="BG176">
        <v>0</v>
      </c>
      <c r="BH176">
        <v>0</v>
      </c>
      <c r="BI176">
        <v>0</v>
      </c>
    </row>
    <row r="177" spans="3:61" x14ac:dyDescent="0.2">
      <c r="C177" t="s">
        <v>64</v>
      </c>
      <c r="D177" t="s">
        <v>46</v>
      </c>
      <c r="E177" s="46">
        <v>943551</v>
      </c>
      <c r="F177" s="46">
        <v>74319</v>
      </c>
      <c r="G177" s="47">
        <v>172</v>
      </c>
      <c r="H177" s="24">
        <v>0.87448762547016545</v>
      </c>
      <c r="N177">
        <f t="shared" si="45"/>
        <v>1</v>
      </c>
      <c r="O177" t="str">
        <v>Bars</v>
      </c>
      <c r="P177" t="str">
        <v>Fruit &amp; Nut Bars</v>
      </c>
      <c r="Q177">
        <v>943551</v>
      </c>
      <c r="R177">
        <v>74319</v>
      </c>
      <c r="S177">
        <v>172</v>
      </c>
      <c r="T177">
        <v>0.87448762547016545</v>
      </c>
      <c r="W177" t="str">
        <v>99% Dark &amp; Pure</v>
      </c>
      <c r="X177">
        <v>1089312</v>
      </c>
      <c r="Y177">
        <v>60878</v>
      </c>
      <c r="Z177">
        <v>179</v>
      </c>
      <c r="AA177">
        <v>0.73961291383919403</v>
      </c>
      <c r="AB177">
        <v>1</v>
      </c>
      <c r="AG177" t="str">
        <v>99% Dark &amp; Pure</v>
      </c>
      <c r="AH177">
        <v>2</v>
      </c>
      <c r="AI177">
        <v>2</v>
      </c>
      <c r="AJ177">
        <v>1</v>
      </c>
      <c r="AK177">
        <v>1</v>
      </c>
      <c r="AL177">
        <v>0</v>
      </c>
      <c r="AM177">
        <v>0</v>
      </c>
      <c r="AN177">
        <v>2</v>
      </c>
      <c r="AO177">
        <v>2</v>
      </c>
      <c r="AP177">
        <v>2</v>
      </c>
      <c r="AQ177">
        <v>0</v>
      </c>
      <c r="AR177">
        <v>0</v>
      </c>
      <c r="AS177">
        <v>0</v>
      </c>
      <c r="AT177">
        <v>0</v>
      </c>
      <c r="AU177">
        <v>1</v>
      </c>
      <c r="AV177">
        <v>1</v>
      </c>
      <c r="AW177">
        <v>2</v>
      </c>
      <c r="AX177">
        <v>0</v>
      </c>
      <c r="AY177">
        <v>0</v>
      </c>
      <c r="AZ177">
        <v>0</v>
      </c>
      <c r="BA177">
        <v>0</v>
      </c>
      <c r="BB177">
        <v>1</v>
      </c>
      <c r="BC177">
        <v>3</v>
      </c>
      <c r="BD177">
        <v>2</v>
      </c>
      <c r="BE177">
        <v>2</v>
      </c>
      <c r="BF177">
        <v>2</v>
      </c>
      <c r="BG177">
        <v>0</v>
      </c>
      <c r="BH177">
        <v>0</v>
      </c>
      <c r="BI177">
        <v>0</v>
      </c>
    </row>
    <row r="178" spans="3:61" x14ac:dyDescent="0.2">
      <c r="C178" t="s">
        <v>64</v>
      </c>
      <c r="D178" t="s">
        <v>31</v>
      </c>
      <c r="E178" s="46">
        <v>942921</v>
      </c>
      <c r="F178" s="46">
        <v>37635</v>
      </c>
      <c r="G178" s="47">
        <v>170</v>
      </c>
      <c r="H178" s="24">
        <v>0.92555388839574049</v>
      </c>
      <c r="N178">
        <f t="shared" si="45"/>
        <v>1</v>
      </c>
      <c r="O178" t="str">
        <v>Bars</v>
      </c>
      <c r="P178" t="str">
        <v>Milk Bars</v>
      </c>
      <c r="Q178">
        <v>942921</v>
      </c>
      <c r="R178">
        <v>37635</v>
      </c>
      <c r="S178">
        <v>170</v>
      </c>
      <c r="T178">
        <v>0.92555388839574049</v>
      </c>
      <c r="W178" t="str">
        <v>Raspberry Choco</v>
      </c>
      <c r="X178">
        <v>1005046</v>
      </c>
      <c r="Y178">
        <v>55688</v>
      </c>
      <c r="Z178">
        <v>173</v>
      </c>
      <c r="AA178">
        <v>0.66210289837480074</v>
      </c>
      <c r="AB178">
        <v>1</v>
      </c>
      <c r="AG178" t="str">
        <v>Raspberry Choco</v>
      </c>
      <c r="AH178">
        <v>0</v>
      </c>
      <c r="AI178">
        <v>0</v>
      </c>
      <c r="AJ178">
        <v>1</v>
      </c>
      <c r="AK178">
        <v>1</v>
      </c>
      <c r="AL178">
        <v>0</v>
      </c>
      <c r="AM178">
        <v>0</v>
      </c>
      <c r="AN178">
        <v>2</v>
      </c>
      <c r="AO178">
        <v>2</v>
      </c>
      <c r="AP178">
        <v>1</v>
      </c>
      <c r="AQ178">
        <v>2</v>
      </c>
      <c r="AR178">
        <v>2</v>
      </c>
      <c r="AS178">
        <v>0</v>
      </c>
      <c r="AT178">
        <v>0</v>
      </c>
      <c r="AU178">
        <v>0</v>
      </c>
      <c r="AV178">
        <v>1</v>
      </c>
      <c r="AW178">
        <v>3</v>
      </c>
      <c r="AX178">
        <v>0</v>
      </c>
      <c r="AY178">
        <v>3</v>
      </c>
      <c r="AZ178">
        <v>0</v>
      </c>
      <c r="BA178">
        <v>0</v>
      </c>
      <c r="BB178">
        <v>0</v>
      </c>
      <c r="BC178">
        <v>2</v>
      </c>
      <c r="BD178">
        <v>1</v>
      </c>
      <c r="BE178">
        <v>0</v>
      </c>
      <c r="BF178">
        <v>1</v>
      </c>
      <c r="BG178">
        <v>0</v>
      </c>
      <c r="BH178">
        <v>0</v>
      </c>
      <c r="BI178">
        <v>0</v>
      </c>
    </row>
    <row r="179" spans="3:61" x14ac:dyDescent="0.2">
      <c r="C179" t="s">
        <v>64</v>
      </c>
      <c r="D179" t="s">
        <v>35</v>
      </c>
      <c r="E179" s="46">
        <v>889056</v>
      </c>
      <c r="F179" s="46">
        <v>50948</v>
      </c>
      <c r="G179" s="47">
        <v>168</v>
      </c>
      <c r="H179" s="24">
        <v>0.87016814598855419</v>
      </c>
      <c r="K179" t="s">
        <v>189</v>
      </c>
      <c r="L179" s="12" t="str">
        <f xml:space="preserve"> Dashboard!S38</f>
        <v>Boxes</v>
      </c>
      <c r="N179">
        <f t="shared" si="45"/>
        <v>1</v>
      </c>
      <c r="O179" t="str">
        <v>Bars</v>
      </c>
      <c r="P179" t="str">
        <v>Mint Chip Choco</v>
      </c>
      <c r="Q179">
        <v>889056</v>
      </c>
      <c r="R179">
        <v>50948</v>
      </c>
      <c r="S179">
        <v>168</v>
      </c>
      <c r="T179">
        <v>0.87016814598855419</v>
      </c>
      <c r="W179" t="str">
        <v>Almond Choco</v>
      </c>
      <c r="X179">
        <v>995050</v>
      </c>
      <c r="Y179">
        <v>52337</v>
      </c>
      <c r="Z179">
        <v>168</v>
      </c>
      <c r="AA179">
        <v>0.29790418119692502</v>
      </c>
      <c r="AB179">
        <v>1</v>
      </c>
      <c r="AG179" t="str">
        <v>Almond Choco</v>
      </c>
      <c r="AH179">
        <v>1</v>
      </c>
      <c r="AI179">
        <v>0</v>
      </c>
      <c r="AJ179">
        <v>0</v>
      </c>
      <c r="AK179">
        <v>2</v>
      </c>
      <c r="AL179">
        <v>0</v>
      </c>
      <c r="AM179">
        <v>0</v>
      </c>
      <c r="AN179">
        <v>1</v>
      </c>
      <c r="AO179">
        <v>2</v>
      </c>
      <c r="AP179">
        <v>0</v>
      </c>
      <c r="AQ179">
        <v>2</v>
      </c>
      <c r="AR179">
        <v>1</v>
      </c>
      <c r="AS179">
        <v>0</v>
      </c>
      <c r="AT179">
        <v>0</v>
      </c>
      <c r="AU179">
        <v>0</v>
      </c>
      <c r="AV179">
        <v>1</v>
      </c>
      <c r="AW179">
        <v>1</v>
      </c>
      <c r="AX179">
        <v>0</v>
      </c>
      <c r="AY179">
        <v>2</v>
      </c>
      <c r="AZ179">
        <v>0</v>
      </c>
      <c r="BA179">
        <v>0</v>
      </c>
      <c r="BB179">
        <v>2</v>
      </c>
      <c r="BC179">
        <v>2</v>
      </c>
      <c r="BD179">
        <v>1</v>
      </c>
      <c r="BE179">
        <v>0</v>
      </c>
      <c r="BF179">
        <v>0</v>
      </c>
      <c r="BG179">
        <v>0</v>
      </c>
      <c r="BH179">
        <v>0</v>
      </c>
      <c r="BI179">
        <v>0</v>
      </c>
    </row>
    <row r="180" spans="3:61" x14ac:dyDescent="0.2">
      <c r="C180" t="s">
        <v>64</v>
      </c>
      <c r="D180" t="s">
        <v>36</v>
      </c>
      <c r="E180" s="46">
        <v>946099</v>
      </c>
      <c r="F180" s="46">
        <v>96847</v>
      </c>
      <c r="G180" s="47">
        <v>175</v>
      </c>
      <c r="H180" s="24">
        <v>0.10052268420112455</v>
      </c>
      <c r="K180" t="s">
        <v>190</v>
      </c>
      <c r="L180">
        <f xml:space="preserve"> IF(L179="Product",1,-1)</f>
        <v>-1</v>
      </c>
      <c r="N180">
        <f t="shared" si="45"/>
        <v>1</v>
      </c>
      <c r="O180" t="str">
        <v>Bars</v>
      </c>
      <c r="P180" t="str">
        <v>Orange Choco</v>
      </c>
      <c r="Q180">
        <v>946099</v>
      </c>
      <c r="R180">
        <v>96847</v>
      </c>
      <c r="S180">
        <v>175</v>
      </c>
      <c r="T180">
        <v>0.10052268420112455</v>
      </c>
      <c r="W180" t="str">
        <v>Mint Chip Choco</v>
      </c>
      <c r="X180">
        <v>889056</v>
      </c>
      <c r="Y180">
        <v>50948</v>
      </c>
      <c r="Z180">
        <v>168</v>
      </c>
      <c r="AA180">
        <v>0.87016814598855419</v>
      </c>
      <c r="AB180">
        <v>1</v>
      </c>
      <c r="AG180" t="str">
        <v>Mint Chip Choco</v>
      </c>
      <c r="AH180">
        <v>0</v>
      </c>
      <c r="AI180">
        <v>2</v>
      </c>
      <c r="AJ180">
        <v>0</v>
      </c>
      <c r="AK180">
        <v>0</v>
      </c>
      <c r="AL180">
        <v>0</v>
      </c>
      <c r="AM180">
        <v>0</v>
      </c>
      <c r="AN180">
        <v>3</v>
      </c>
      <c r="AO180">
        <v>0</v>
      </c>
      <c r="AP180">
        <v>1</v>
      </c>
      <c r="AQ180">
        <v>1</v>
      </c>
      <c r="AR180">
        <v>1</v>
      </c>
      <c r="AS180">
        <v>0</v>
      </c>
      <c r="AT180">
        <v>0</v>
      </c>
      <c r="AU180">
        <v>1</v>
      </c>
      <c r="AV180">
        <v>2</v>
      </c>
      <c r="AW180">
        <v>0</v>
      </c>
      <c r="AX180">
        <v>0</v>
      </c>
      <c r="AY180">
        <v>1</v>
      </c>
      <c r="AZ180">
        <v>0</v>
      </c>
      <c r="BA180">
        <v>0</v>
      </c>
      <c r="BB180">
        <v>1</v>
      </c>
      <c r="BC180">
        <v>1</v>
      </c>
      <c r="BD180">
        <v>2</v>
      </c>
      <c r="BE180">
        <v>0</v>
      </c>
      <c r="BF180">
        <v>1</v>
      </c>
      <c r="BG180">
        <v>0</v>
      </c>
      <c r="BH180">
        <v>0</v>
      </c>
      <c r="BI180">
        <v>0</v>
      </c>
    </row>
    <row r="181" spans="3:61" x14ac:dyDescent="0.2">
      <c r="C181" t="s">
        <v>64</v>
      </c>
      <c r="D181" t="s">
        <v>10</v>
      </c>
      <c r="E181" s="46">
        <v>1005046</v>
      </c>
      <c r="F181" s="46">
        <v>55688</v>
      </c>
      <c r="G181" s="47">
        <v>173</v>
      </c>
      <c r="H181" s="24">
        <v>0.66210289837480074</v>
      </c>
      <c r="N181">
        <f t="shared" si="45"/>
        <v>1</v>
      </c>
      <c r="O181" t="str">
        <v>Bars</v>
      </c>
      <c r="P181" t="str">
        <v>Raspberry Choco</v>
      </c>
      <c r="Q181">
        <v>1005046</v>
      </c>
      <c r="R181">
        <v>55688</v>
      </c>
      <c r="S181">
        <v>173</v>
      </c>
      <c r="T181">
        <v>0.66210289837480074</v>
      </c>
      <c r="W181" t="str">
        <v>Caramel Stuffed Bars</v>
      </c>
      <c r="X181">
        <v>994021</v>
      </c>
      <c r="Y181">
        <v>48730</v>
      </c>
      <c r="Z181">
        <v>175</v>
      </c>
      <c r="AA181">
        <v>0.95592822485641649</v>
      </c>
      <c r="AB181">
        <v>1</v>
      </c>
      <c r="AG181" t="str">
        <v>Caramel Stuffed Bars</v>
      </c>
      <c r="AH181">
        <v>2</v>
      </c>
      <c r="AI181">
        <v>2</v>
      </c>
      <c r="AJ181">
        <v>0</v>
      </c>
      <c r="AK181">
        <v>4</v>
      </c>
      <c r="AL181">
        <v>0</v>
      </c>
      <c r="AM181">
        <v>0</v>
      </c>
      <c r="AN181">
        <v>2</v>
      </c>
      <c r="AO181">
        <v>0</v>
      </c>
      <c r="AP181">
        <v>1</v>
      </c>
      <c r="AQ181">
        <v>0</v>
      </c>
      <c r="AR181">
        <v>3</v>
      </c>
      <c r="AS181">
        <v>0</v>
      </c>
      <c r="AT181">
        <v>0</v>
      </c>
      <c r="AU181">
        <v>0</v>
      </c>
      <c r="AV181">
        <v>1</v>
      </c>
      <c r="AW181">
        <v>0</v>
      </c>
      <c r="AX181">
        <v>0</v>
      </c>
      <c r="AY181">
        <v>0</v>
      </c>
      <c r="AZ181">
        <v>0</v>
      </c>
      <c r="BA181">
        <v>0</v>
      </c>
      <c r="BB181">
        <v>1</v>
      </c>
      <c r="BC181">
        <v>3</v>
      </c>
      <c r="BD181">
        <v>2</v>
      </c>
      <c r="BE181">
        <v>0</v>
      </c>
      <c r="BF181">
        <v>1</v>
      </c>
      <c r="BG181">
        <v>0</v>
      </c>
      <c r="BH181">
        <v>0</v>
      </c>
      <c r="BI181">
        <v>0</v>
      </c>
    </row>
    <row r="182" spans="3:61" x14ac:dyDescent="0.2">
      <c r="C182" t="s">
        <v>64</v>
      </c>
      <c r="D182" t="s">
        <v>55</v>
      </c>
      <c r="E182" s="46">
        <v>990794</v>
      </c>
      <c r="F182" s="46">
        <v>61790</v>
      </c>
      <c r="G182" s="47">
        <v>170</v>
      </c>
      <c r="H182" s="24">
        <v>0.68694456970873874</v>
      </c>
      <c r="L182" s="54"/>
      <c r="N182">
        <f t="shared" si="45"/>
        <v>1</v>
      </c>
      <c r="O182" t="str">
        <v>Bars</v>
      </c>
      <c r="P182" t="str">
        <v>Smooth Sliky Salty</v>
      </c>
      <c r="Q182">
        <v>990794</v>
      </c>
      <c r="R182">
        <v>61790</v>
      </c>
      <c r="S182">
        <v>170</v>
      </c>
      <c r="T182">
        <v>0.68694456970873874</v>
      </c>
      <c r="W182" t="str">
        <v>Milk Bars</v>
      </c>
      <c r="X182">
        <v>942921</v>
      </c>
      <c r="Y182">
        <v>37635</v>
      </c>
      <c r="Z182">
        <v>170</v>
      </c>
      <c r="AA182">
        <v>0.92555388839574049</v>
      </c>
      <c r="AB182">
        <v>1</v>
      </c>
      <c r="AG182" t="str">
        <v>Milk Bars</v>
      </c>
      <c r="AH182">
        <v>1</v>
      </c>
      <c r="AI182">
        <v>0</v>
      </c>
      <c r="AJ182">
        <v>0</v>
      </c>
      <c r="AK182">
        <v>3</v>
      </c>
      <c r="AL182">
        <v>0</v>
      </c>
      <c r="AM182">
        <v>0</v>
      </c>
      <c r="AN182">
        <v>1</v>
      </c>
      <c r="AO182">
        <v>2</v>
      </c>
      <c r="AP182">
        <v>1</v>
      </c>
      <c r="AQ182">
        <v>1</v>
      </c>
      <c r="AR182">
        <v>3</v>
      </c>
      <c r="AS182">
        <v>0</v>
      </c>
      <c r="AT182">
        <v>0</v>
      </c>
      <c r="AU182">
        <v>0</v>
      </c>
      <c r="AV182">
        <v>4</v>
      </c>
      <c r="AW182">
        <v>2</v>
      </c>
      <c r="AX182">
        <v>0</v>
      </c>
      <c r="AY182">
        <v>0</v>
      </c>
      <c r="AZ182">
        <v>0</v>
      </c>
      <c r="BA182">
        <v>0</v>
      </c>
      <c r="BB182">
        <v>0</v>
      </c>
      <c r="BC182">
        <v>1</v>
      </c>
      <c r="BD182">
        <v>0</v>
      </c>
      <c r="BE182">
        <v>0</v>
      </c>
      <c r="BF182">
        <v>0</v>
      </c>
      <c r="BG182">
        <v>0</v>
      </c>
      <c r="BH182">
        <v>0</v>
      </c>
      <c r="BI182">
        <v>0</v>
      </c>
    </row>
    <row r="183" spans="3:61" x14ac:dyDescent="0.2">
      <c r="C183" t="s">
        <v>66</v>
      </c>
      <c r="D183" t="s">
        <v>49</v>
      </c>
      <c r="E183" s="46">
        <v>1030323</v>
      </c>
      <c r="F183" s="46">
        <v>86978</v>
      </c>
      <c r="G183" s="47">
        <v>170</v>
      </c>
      <c r="H183" s="24">
        <v>0.76362907554233006</v>
      </c>
      <c r="N183">
        <f t="shared" si="45"/>
        <v>0</v>
      </c>
      <c r="O183" t="str">
        <v>Bites</v>
      </c>
      <c r="P183" t="str">
        <v>50% Dark Bites</v>
      </c>
      <c r="Q183">
        <v>1030323</v>
      </c>
      <c r="R183">
        <v>86978</v>
      </c>
      <c r="S183">
        <v>170</v>
      </c>
      <c r="T183">
        <v>0.76362907554233006</v>
      </c>
      <c r="W183" t="str">
        <v>White Choc</v>
      </c>
      <c r="X183">
        <v>979188</v>
      </c>
      <c r="Y183">
        <v>87237</v>
      </c>
      <c r="Z183">
        <v>177</v>
      </c>
      <c r="AA183">
        <v>0.97857357473743556</v>
      </c>
      <c r="AB183">
        <v>0</v>
      </c>
      <c r="AG183" t="str">
        <v>White Choc</v>
      </c>
      <c r="AH183">
        <v>2</v>
      </c>
      <c r="AI183">
        <v>2</v>
      </c>
      <c r="AJ183">
        <v>2</v>
      </c>
      <c r="AK183">
        <v>3</v>
      </c>
      <c r="AL183">
        <v>0</v>
      </c>
      <c r="AM183">
        <v>0</v>
      </c>
      <c r="AN183">
        <v>0</v>
      </c>
      <c r="AO183">
        <v>0</v>
      </c>
      <c r="AP183">
        <v>0</v>
      </c>
      <c r="AQ183">
        <v>1</v>
      </c>
      <c r="AR183">
        <v>2</v>
      </c>
      <c r="AS183">
        <v>0</v>
      </c>
      <c r="AT183">
        <v>0</v>
      </c>
      <c r="AU183">
        <v>0</v>
      </c>
      <c r="AV183">
        <v>2</v>
      </c>
      <c r="AW183">
        <v>4</v>
      </c>
      <c r="AX183">
        <v>1</v>
      </c>
      <c r="AY183">
        <v>0</v>
      </c>
      <c r="AZ183">
        <v>0</v>
      </c>
      <c r="BA183">
        <v>0</v>
      </c>
      <c r="BB183">
        <v>0</v>
      </c>
      <c r="BC183">
        <v>1</v>
      </c>
      <c r="BD183">
        <v>2</v>
      </c>
      <c r="BE183">
        <v>0</v>
      </c>
      <c r="BF183">
        <v>2</v>
      </c>
      <c r="BG183">
        <v>0</v>
      </c>
      <c r="BH183">
        <v>0</v>
      </c>
      <c r="BI183">
        <v>1</v>
      </c>
    </row>
    <row r="184" spans="3:61" x14ac:dyDescent="0.2">
      <c r="C184" t="s">
        <v>66</v>
      </c>
      <c r="D184" t="s">
        <v>50</v>
      </c>
      <c r="E184" s="46">
        <v>938049</v>
      </c>
      <c r="F184" s="46">
        <v>82174</v>
      </c>
      <c r="G184" s="47">
        <v>163</v>
      </c>
      <c r="H184" s="24">
        <v>0.2779139846639142</v>
      </c>
      <c r="K184" t="s">
        <v>192</v>
      </c>
      <c r="L184">
        <f xml:space="preserve"> _xlfn.XMATCH(L179,sort.options.products.table)</f>
        <v>3</v>
      </c>
      <c r="N184">
        <f t="shared" si="45"/>
        <v>0</v>
      </c>
      <c r="O184" t="str">
        <v>Bites</v>
      </c>
      <c r="P184" t="str">
        <v>70% Dark Bites</v>
      </c>
      <c r="Q184">
        <v>938049</v>
      </c>
      <c r="R184">
        <v>82174</v>
      </c>
      <c r="S184">
        <v>163</v>
      </c>
      <c r="T184">
        <v>0.2779139846639142</v>
      </c>
      <c r="W184" t="str">
        <v>50% Dark Bites</v>
      </c>
      <c r="X184">
        <v>1030323</v>
      </c>
      <c r="Y184">
        <v>86978</v>
      </c>
      <c r="Z184">
        <v>170</v>
      </c>
      <c r="AA184">
        <v>0.76362907554233006</v>
      </c>
      <c r="AB184">
        <v>0</v>
      </c>
      <c r="AG184" t="str">
        <v>50% Dark Bites</v>
      </c>
      <c r="AH184">
        <v>0</v>
      </c>
      <c r="AI184">
        <v>3</v>
      </c>
      <c r="AJ184">
        <v>0</v>
      </c>
      <c r="AK184">
        <v>1</v>
      </c>
      <c r="AL184">
        <v>0</v>
      </c>
      <c r="AM184">
        <v>0</v>
      </c>
      <c r="AN184">
        <v>1</v>
      </c>
      <c r="AO184">
        <v>2</v>
      </c>
      <c r="AP184">
        <v>0</v>
      </c>
      <c r="AQ184">
        <v>1</v>
      </c>
      <c r="AR184">
        <v>3</v>
      </c>
      <c r="AS184">
        <v>0</v>
      </c>
      <c r="AT184">
        <v>0</v>
      </c>
      <c r="AU184">
        <v>1</v>
      </c>
      <c r="AV184">
        <v>1</v>
      </c>
      <c r="AW184">
        <v>0</v>
      </c>
      <c r="AX184">
        <v>0</v>
      </c>
      <c r="AY184">
        <v>1</v>
      </c>
      <c r="AZ184">
        <v>0</v>
      </c>
      <c r="BA184">
        <v>0</v>
      </c>
      <c r="BB184">
        <v>0</v>
      </c>
      <c r="BC184">
        <v>0</v>
      </c>
      <c r="BD184">
        <v>5</v>
      </c>
      <c r="BE184">
        <v>1</v>
      </c>
      <c r="BF184">
        <v>0</v>
      </c>
      <c r="BG184">
        <v>0</v>
      </c>
      <c r="BH184">
        <v>0</v>
      </c>
      <c r="BI184">
        <v>0</v>
      </c>
    </row>
    <row r="185" spans="3:61" x14ac:dyDescent="0.2">
      <c r="C185" t="s">
        <v>66</v>
      </c>
      <c r="D185" t="s">
        <v>38</v>
      </c>
      <c r="E185" s="46">
        <v>1027054</v>
      </c>
      <c r="F185" s="46">
        <v>39893</v>
      </c>
      <c r="G185" s="47">
        <v>175</v>
      </c>
      <c r="H185" s="24">
        <v>0.75367853219012826</v>
      </c>
      <c r="N185">
        <f t="shared" si="45"/>
        <v>0</v>
      </c>
      <c r="O185" t="str">
        <v>Bites</v>
      </c>
      <c r="P185" t="str">
        <v>After Nines</v>
      </c>
      <c r="Q185">
        <v>1027054</v>
      </c>
      <c r="R185">
        <v>39893</v>
      </c>
      <c r="S185">
        <v>175</v>
      </c>
      <c r="T185">
        <v>0.75367853219012826</v>
      </c>
      <c r="W185" t="str">
        <v>70% Dark Bites</v>
      </c>
      <c r="X185">
        <v>938049</v>
      </c>
      <c r="Y185">
        <v>82174</v>
      </c>
      <c r="Z185">
        <v>163</v>
      </c>
      <c r="AA185">
        <v>0.2779139846639142</v>
      </c>
      <c r="AB185">
        <v>0</v>
      </c>
      <c r="AG185" t="str">
        <v>70% Dark Bites</v>
      </c>
      <c r="AH185">
        <v>1</v>
      </c>
      <c r="AI185">
        <v>0</v>
      </c>
      <c r="AJ185">
        <v>2</v>
      </c>
      <c r="AK185">
        <v>1</v>
      </c>
      <c r="AL185">
        <v>0</v>
      </c>
      <c r="AM185">
        <v>0</v>
      </c>
      <c r="AN185">
        <v>1</v>
      </c>
      <c r="AO185">
        <v>0</v>
      </c>
      <c r="AP185">
        <v>0</v>
      </c>
      <c r="AQ185">
        <v>1</v>
      </c>
      <c r="AR185">
        <v>0</v>
      </c>
      <c r="AS185">
        <v>0</v>
      </c>
      <c r="AT185">
        <v>0</v>
      </c>
      <c r="AU185">
        <v>0</v>
      </c>
      <c r="AV185">
        <v>2</v>
      </c>
      <c r="AW185">
        <v>0</v>
      </c>
      <c r="AX185">
        <v>0</v>
      </c>
      <c r="AY185">
        <v>0</v>
      </c>
      <c r="AZ185">
        <v>0</v>
      </c>
      <c r="BA185">
        <v>0</v>
      </c>
      <c r="BB185">
        <v>1</v>
      </c>
      <c r="BC185">
        <v>3</v>
      </c>
      <c r="BD185">
        <v>1</v>
      </c>
      <c r="BE185">
        <v>0</v>
      </c>
      <c r="BF185">
        <v>0</v>
      </c>
      <c r="BG185">
        <v>0</v>
      </c>
      <c r="BH185">
        <v>0</v>
      </c>
      <c r="BI185">
        <v>0</v>
      </c>
    </row>
    <row r="186" spans="3:61" x14ac:dyDescent="0.2">
      <c r="C186" t="s">
        <v>66</v>
      </c>
      <c r="D186" t="s">
        <v>45</v>
      </c>
      <c r="E186" s="46">
        <v>1075109</v>
      </c>
      <c r="F186" s="46">
        <v>59624</v>
      </c>
      <c r="G186" s="47">
        <v>172</v>
      </c>
      <c r="H186" s="24">
        <v>0.36395683488836933</v>
      </c>
      <c r="N186">
        <f t="shared" si="45"/>
        <v>0</v>
      </c>
      <c r="O186" t="str">
        <v>Bites</v>
      </c>
      <c r="P186" t="str">
        <v>Choco Coated Almonds</v>
      </c>
      <c r="Q186">
        <v>1075109</v>
      </c>
      <c r="R186">
        <v>59624</v>
      </c>
      <c r="S186">
        <v>172</v>
      </c>
      <c r="T186">
        <v>0.36395683488836933</v>
      </c>
      <c r="W186" t="str">
        <v>Eclairs</v>
      </c>
      <c r="X186">
        <v>992271</v>
      </c>
      <c r="Y186">
        <v>64557</v>
      </c>
      <c r="Z186">
        <v>170</v>
      </c>
      <c r="AA186">
        <v>0.81656375979949025</v>
      </c>
      <c r="AB186">
        <v>0</v>
      </c>
      <c r="AG186" t="str">
        <v>Eclairs</v>
      </c>
      <c r="AH186">
        <v>0</v>
      </c>
      <c r="AI186">
        <v>2</v>
      </c>
      <c r="AJ186">
        <v>1</v>
      </c>
      <c r="AK186">
        <v>2</v>
      </c>
      <c r="AL186">
        <v>0</v>
      </c>
      <c r="AM186">
        <v>0</v>
      </c>
      <c r="AN186">
        <v>2</v>
      </c>
      <c r="AO186">
        <v>0</v>
      </c>
      <c r="AP186">
        <v>1</v>
      </c>
      <c r="AQ186">
        <v>2</v>
      </c>
      <c r="AR186">
        <v>1</v>
      </c>
      <c r="AS186">
        <v>0</v>
      </c>
      <c r="AT186">
        <v>0</v>
      </c>
      <c r="AU186">
        <v>0</v>
      </c>
      <c r="AV186">
        <v>0</v>
      </c>
      <c r="AW186">
        <v>1</v>
      </c>
      <c r="AX186">
        <v>0</v>
      </c>
      <c r="AY186">
        <v>3</v>
      </c>
      <c r="AZ186">
        <v>0</v>
      </c>
      <c r="BA186">
        <v>0</v>
      </c>
      <c r="BB186">
        <v>0</v>
      </c>
      <c r="BC186">
        <v>1</v>
      </c>
      <c r="BD186">
        <v>2</v>
      </c>
      <c r="BE186">
        <v>0</v>
      </c>
      <c r="BF186">
        <v>1</v>
      </c>
      <c r="BG186">
        <v>0</v>
      </c>
      <c r="BH186">
        <v>0</v>
      </c>
      <c r="BI186">
        <v>0</v>
      </c>
    </row>
    <row r="187" spans="3:61" x14ac:dyDescent="0.2">
      <c r="C187" t="s">
        <v>66</v>
      </c>
      <c r="D187" t="s">
        <v>37</v>
      </c>
      <c r="E187" s="46">
        <v>992271</v>
      </c>
      <c r="F187" s="46">
        <v>64557</v>
      </c>
      <c r="G187" s="47">
        <v>170</v>
      </c>
      <c r="H187" s="24">
        <v>0.81656375979949025</v>
      </c>
      <c r="N187">
        <f t="shared" si="45"/>
        <v>0</v>
      </c>
      <c r="O187" t="str">
        <v>Bites</v>
      </c>
      <c r="P187" t="str">
        <v>Eclairs</v>
      </c>
      <c r="Q187">
        <v>992271</v>
      </c>
      <c r="R187">
        <v>64557</v>
      </c>
      <c r="S187">
        <v>170</v>
      </c>
      <c r="T187">
        <v>0.81656375979949025</v>
      </c>
      <c r="W187" t="str">
        <v>Choco Coated Almonds</v>
      </c>
      <c r="X187">
        <v>1075109</v>
      </c>
      <c r="Y187">
        <v>59624</v>
      </c>
      <c r="Z187">
        <v>172</v>
      </c>
      <c r="AA187">
        <v>0.36395683488836933</v>
      </c>
      <c r="AB187">
        <v>0</v>
      </c>
      <c r="AG187" t="str">
        <v>Choco Coated Almonds</v>
      </c>
      <c r="AH187">
        <v>2</v>
      </c>
      <c r="AI187">
        <v>0</v>
      </c>
      <c r="AJ187">
        <v>2</v>
      </c>
      <c r="AK187">
        <v>2</v>
      </c>
      <c r="AL187">
        <v>0</v>
      </c>
      <c r="AM187">
        <v>0</v>
      </c>
      <c r="AN187">
        <v>0</v>
      </c>
      <c r="AO187">
        <v>1</v>
      </c>
      <c r="AP187">
        <v>1</v>
      </c>
      <c r="AQ187">
        <v>1</v>
      </c>
      <c r="AR187">
        <v>4</v>
      </c>
      <c r="AS187">
        <v>0</v>
      </c>
      <c r="AT187">
        <v>0</v>
      </c>
      <c r="AU187">
        <v>0</v>
      </c>
      <c r="AV187">
        <v>0</v>
      </c>
      <c r="AW187">
        <v>1</v>
      </c>
      <c r="AX187">
        <v>0</v>
      </c>
      <c r="AY187">
        <v>2</v>
      </c>
      <c r="AZ187">
        <v>0</v>
      </c>
      <c r="BA187">
        <v>0</v>
      </c>
      <c r="BB187">
        <v>3</v>
      </c>
      <c r="BC187">
        <v>1</v>
      </c>
      <c r="BD187">
        <v>0</v>
      </c>
      <c r="BE187">
        <v>1</v>
      </c>
      <c r="BF187">
        <v>0</v>
      </c>
      <c r="BG187">
        <v>0</v>
      </c>
      <c r="BH187">
        <v>0</v>
      </c>
      <c r="BI187">
        <v>0</v>
      </c>
    </row>
    <row r="188" spans="3:61" x14ac:dyDescent="0.2">
      <c r="C188" t="s">
        <v>66</v>
      </c>
      <c r="D188" t="s">
        <v>43</v>
      </c>
      <c r="E188" s="46">
        <v>987525</v>
      </c>
      <c r="F188" s="46">
        <v>50674</v>
      </c>
      <c r="G188" s="47">
        <v>176</v>
      </c>
      <c r="H188" s="24">
        <v>0.75848998151945535</v>
      </c>
      <c r="N188">
        <f t="shared" si="45"/>
        <v>0</v>
      </c>
      <c r="O188" t="str">
        <v>Bites</v>
      </c>
      <c r="P188" t="str">
        <v>Peanut Butter Cubes</v>
      </c>
      <c r="Q188">
        <v>987525</v>
      </c>
      <c r="R188">
        <v>50674</v>
      </c>
      <c r="S188">
        <v>176</v>
      </c>
      <c r="T188">
        <v>0.75848998151945535</v>
      </c>
      <c r="W188" t="str">
        <v>Spicy Special Slims</v>
      </c>
      <c r="X188">
        <v>1029490</v>
      </c>
      <c r="Y188">
        <v>58052</v>
      </c>
      <c r="Z188">
        <v>171</v>
      </c>
      <c r="AA188">
        <v>0.48073546396759537</v>
      </c>
      <c r="AB188">
        <v>0</v>
      </c>
      <c r="AG188" t="str">
        <v>Spicy Special Slims</v>
      </c>
      <c r="AH188">
        <v>2</v>
      </c>
      <c r="AI188">
        <v>0</v>
      </c>
      <c r="AJ188">
        <v>1</v>
      </c>
      <c r="AK188">
        <v>2</v>
      </c>
      <c r="AL188">
        <v>0</v>
      </c>
      <c r="AM188">
        <v>0</v>
      </c>
      <c r="AN188">
        <v>2</v>
      </c>
      <c r="AO188">
        <v>2</v>
      </c>
      <c r="AP188">
        <v>0</v>
      </c>
      <c r="AQ188">
        <v>1</v>
      </c>
      <c r="AR188">
        <v>0</v>
      </c>
      <c r="AS188">
        <v>0</v>
      </c>
      <c r="AT188">
        <v>0</v>
      </c>
      <c r="AU188">
        <v>0</v>
      </c>
      <c r="AV188">
        <v>1</v>
      </c>
      <c r="AW188">
        <v>0</v>
      </c>
      <c r="AX188">
        <v>0</v>
      </c>
      <c r="AY188">
        <v>0</v>
      </c>
      <c r="AZ188">
        <v>0</v>
      </c>
      <c r="BA188">
        <v>0</v>
      </c>
      <c r="BB188">
        <v>0</v>
      </c>
      <c r="BC188">
        <v>1</v>
      </c>
      <c r="BD188">
        <v>2</v>
      </c>
      <c r="BE188">
        <v>3</v>
      </c>
      <c r="BF188">
        <v>3</v>
      </c>
      <c r="BG188">
        <v>0</v>
      </c>
      <c r="BH188">
        <v>0</v>
      </c>
      <c r="BI188">
        <v>0</v>
      </c>
    </row>
    <row r="189" spans="3:61" x14ac:dyDescent="0.2">
      <c r="C189" t="s">
        <v>66</v>
      </c>
      <c r="D189" t="s">
        <v>40</v>
      </c>
      <c r="E189" s="46">
        <v>1029490</v>
      </c>
      <c r="F189" s="46">
        <v>58052</v>
      </c>
      <c r="G189" s="47">
        <v>171</v>
      </c>
      <c r="H189" s="24">
        <v>0.48073546396759537</v>
      </c>
      <c r="N189">
        <f t="shared" si="45"/>
        <v>0</v>
      </c>
      <c r="O189" t="str">
        <v>Bites</v>
      </c>
      <c r="P189" t="str">
        <v>Spicy Special Slims</v>
      </c>
      <c r="Q189">
        <v>1029490</v>
      </c>
      <c r="R189">
        <v>58052</v>
      </c>
      <c r="S189">
        <v>171</v>
      </c>
      <c r="T189">
        <v>0.48073546396759537</v>
      </c>
      <c r="W189" t="str">
        <v>Peanut Butter Cubes</v>
      </c>
      <c r="X189">
        <v>987525</v>
      </c>
      <c r="Y189">
        <v>50674</v>
      </c>
      <c r="Z189">
        <v>176</v>
      </c>
      <c r="AA189">
        <v>0.75848998151945535</v>
      </c>
      <c r="AB189">
        <v>0</v>
      </c>
      <c r="AG189" t="str">
        <v>Peanut Butter Cubes</v>
      </c>
      <c r="AH189">
        <v>0</v>
      </c>
      <c r="AI189">
        <v>1</v>
      </c>
      <c r="AJ189">
        <v>2</v>
      </c>
      <c r="AK189">
        <v>4</v>
      </c>
      <c r="AL189">
        <v>0</v>
      </c>
      <c r="AM189">
        <v>0</v>
      </c>
      <c r="AN189">
        <v>1</v>
      </c>
      <c r="AO189">
        <v>3</v>
      </c>
      <c r="AP189">
        <v>0</v>
      </c>
      <c r="AQ189">
        <v>0</v>
      </c>
      <c r="AR189">
        <v>0</v>
      </c>
      <c r="AS189">
        <v>0</v>
      </c>
      <c r="AT189">
        <v>0</v>
      </c>
      <c r="AU189">
        <v>0</v>
      </c>
      <c r="AV189">
        <v>3</v>
      </c>
      <c r="AW189">
        <v>0</v>
      </c>
      <c r="AX189">
        <v>0</v>
      </c>
      <c r="AY189">
        <v>2</v>
      </c>
      <c r="AZ189">
        <v>0</v>
      </c>
      <c r="BA189">
        <v>0</v>
      </c>
      <c r="BB189">
        <v>3</v>
      </c>
      <c r="BC189">
        <v>1</v>
      </c>
      <c r="BD189">
        <v>0</v>
      </c>
      <c r="BE189">
        <v>1</v>
      </c>
      <c r="BF189">
        <v>5</v>
      </c>
      <c r="BG189">
        <v>0</v>
      </c>
      <c r="BH189">
        <v>0</v>
      </c>
      <c r="BI189">
        <v>0</v>
      </c>
    </row>
    <row r="190" spans="3:61" x14ac:dyDescent="0.2">
      <c r="C190" t="s">
        <v>67</v>
      </c>
      <c r="D190" t="s">
        <v>42</v>
      </c>
      <c r="E190" s="46">
        <v>902384</v>
      </c>
      <c r="F190" s="46">
        <v>50098</v>
      </c>
      <c r="G190" s="47">
        <v>167</v>
      </c>
      <c r="H190" s="24">
        <v>0.86246123025230936</v>
      </c>
      <c r="N190">
        <f t="shared" si="45"/>
        <v>0</v>
      </c>
      <c r="O190" t="str">
        <v>Other</v>
      </c>
      <c r="P190" t="str">
        <v>Drinking Coco</v>
      </c>
      <c r="Q190">
        <v>902384</v>
      </c>
      <c r="R190">
        <v>50098</v>
      </c>
      <c r="S190">
        <v>167</v>
      </c>
      <c r="T190">
        <v>0.86246123025230936</v>
      </c>
      <c r="W190" t="str">
        <v>Drinking Coco</v>
      </c>
      <c r="X190">
        <v>902384</v>
      </c>
      <c r="Y190">
        <v>50098</v>
      </c>
      <c r="Z190">
        <v>167</v>
      </c>
      <c r="AA190">
        <v>0.86246123025230936</v>
      </c>
      <c r="AB190">
        <v>0</v>
      </c>
      <c r="AG190" t="str">
        <v>Drinking Coco</v>
      </c>
      <c r="AH190">
        <v>4</v>
      </c>
      <c r="AI190">
        <v>0</v>
      </c>
      <c r="AJ190">
        <v>1</v>
      </c>
      <c r="AK190">
        <v>2</v>
      </c>
      <c r="AL190">
        <v>0</v>
      </c>
      <c r="AM190">
        <v>0</v>
      </c>
      <c r="AN190">
        <v>1</v>
      </c>
      <c r="AO190">
        <v>0</v>
      </c>
      <c r="AP190">
        <v>1</v>
      </c>
      <c r="AQ190">
        <v>0</v>
      </c>
      <c r="AR190">
        <v>2</v>
      </c>
      <c r="AS190">
        <v>0</v>
      </c>
      <c r="AT190">
        <v>0</v>
      </c>
      <c r="AU190">
        <v>0</v>
      </c>
      <c r="AV190">
        <v>0</v>
      </c>
      <c r="AW190">
        <v>2</v>
      </c>
      <c r="AX190">
        <v>1</v>
      </c>
      <c r="AY190">
        <v>0</v>
      </c>
      <c r="AZ190">
        <v>0</v>
      </c>
      <c r="BA190">
        <v>0</v>
      </c>
      <c r="BB190">
        <v>0</v>
      </c>
      <c r="BC190">
        <v>0</v>
      </c>
      <c r="BD190">
        <v>1</v>
      </c>
      <c r="BE190">
        <v>0</v>
      </c>
      <c r="BF190">
        <v>1</v>
      </c>
      <c r="BG190">
        <v>0</v>
      </c>
      <c r="BH190">
        <v>0</v>
      </c>
      <c r="BI190">
        <v>0</v>
      </c>
    </row>
    <row r="191" spans="3:61" x14ac:dyDescent="0.2">
      <c r="C191" t="s">
        <v>67</v>
      </c>
      <c r="D191" t="s">
        <v>19</v>
      </c>
      <c r="E191" s="46">
        <v>948983</v>
      </c>
      <c r="F191" s="46">
        <v>39124</v>
      </c>
      <c r="G191" s="47">
        <v>175</v>
      </c>
      <c r="H191" s="24">
        <v>0.67467130981271528</v>
      </c>
      <c r="N191">
        <f t="shared" si="45"/>
        <v>0</v>
      </c>
      <c r="O191" t="str">
        <v>Other</v>
      </c>
      <c r="P191" t="str">
        <v>Manuka Honey Choco</v>
      </c>
      <c r="Q191">
        <v>948983</v>
      </c>
      <c r="R191">
        <v>39124</v>
      </c>
      <c r="S191">
        <v>175</v>
      </c>
      <c r="T191">
        <v>0.67467130981271528</v>
      </c>
      <c r="W191" t="str">
        <v>Organic Choco Syrup</v>
      </c>
      <c r="X191">
        <v>1047011</v>
      </c>
      <c r="Y191">
        <v>45761</v>
      </c>
      <c r="Z191">
        <v>178</v>
      </c>
      <c r="AA191">
        <v>0.92296760731262617</v>
      </c>
      <c r="AB191">
        <v>0</v>
      </c>
      <c r="AG191" t="str">
        <v>Organic Choco Syrup</v>
      </c>
      <c r="AH191">
        <v>0</v>
      </c>
      <c r="AI191">
        <v>0</v>
      </c>
      <c r="AJ191">
        <v>0</v>
      </c>
      <c r="AK191">
        <v>1</v>
      </c>
      <c r="AL191">
        <v>0</v>
      </c>
      <c r="AM191">
        <v>0</v>
      </c>
      <c r="AN191">
        <v>1</v>
      </c>
      <c r="AO191">
        <v>2</v>
      </c>
      <c r="AP191">
        <v>0</v>
      </c>
      <c r="AQ191">
        <v>1</v>
      </c>
      <c r="AR191">
        <v>3</v>
      </c>
      <c r="AS191">
        <v>0</v>
      </c>
      <c r="AT191">
        <v>0</v>
      </c>
      <c r="AU191">
        <v>2</v>
      </c>
      <c r="AV191">
        <v>1</v>
      </c>
      <c r="AW191">
        <v>2</v>
      </c>
      <c r="AX191">
        <v>0</v>
      </c>
      <c r="AY191">
        <v>1</v>
      </c>
      <c r="AZ191">
        <v>0</v>
      </c>
      <c r="BA191">
        <v>0</v>
      </c>
      <c r="BB191">
        <v>1</v>
      </c>
      <c r="BC191">
        <v>1</v>
      </c>
      <c r="BD191">
        <v>4</v>
      </c>
      <c r="BE191">
        <v>1</v>
      </c>
      <c r="BF191">
        <v>3</v>
      </c>
      <c r="BG191">
        <v>0</v>
      </c>
      <c r="BH191">
        <v>0</v>
      </c>
      <c r="BI191">
        <v>0</v>
      </c>
    </row>
    <row r="192" spans="3:61" x14ac:dyDescent="0.2">
      <c r="C192" t="s">
        <v>67</v>
      </c>
      <c r="D192" t="s">
        <v>27</v>
      </c>
      <c r="E192" s="46">
        <v>1047011</v>
      </c>
      <c r="F192" s="46">
        <v>45761</v>
      </c>
      <c r="G192" s="47">
        <v>178</v>
      </c>
      <c r="H192" s="24">
        <v>0.92296760731262617</v>
      </c>
      <c r="N192">
        <f t="shared" si="45"/>
        <v>0</v>
      </c>
      <c r="O192" t="str">
        <v>Other</v>
      </c>
      <c r="P192" t="str">
        <v>Organic Choco Syrup</v>
      </c>
      <c r="Q192">
        <v>1047011</v>
      </c>
      <c r="R192">
        <v>45761</v>
      </c>
      <c r="S192">
        <v>178</v>
      </c>
      <c r="T192">
        <v>0.92296760731262617</v>
      </c>
      <c r="W192" t="str">
        <v>After Nines</v>
      </c>
      <c r="X192">
        <v>1027054</v>
      </c>
      <c r="Y192">
        <v>39893</v>
      </c>
      <c r="Z192">
        <v>175</v>
      </c>
      <c r="AA192">
        <v>0.75367853219012826</v>
      </c>
      <c r="AB192">
        <v>0</v>
      </c>
      <c r="AG192" t="str">
        <v>After Nines</v>
      </c>
      <c r="AH192">
        <v>0</v>
      </c>
      <c r="AI192">
        <v>5</v>
      </c>
      <c r="AJ192">
        <v>1</v>
      </c>
      <c r="AK192">
        <v>2</v>
      </c>
      <c r="AL192">
        <v>0</v>
      </c>
      <c r="AM192">
        <v>0</v>
      </c>
      <c r="AN192">
        <v>0</v>
      </c>
      <c r="AO192">
        <v>0</v>
      </c>
      <c r="AP192">
        <v>0</v>
      </c>
      <c r="AQ192">
        <v>2</v>
      </c>
      <c r="AR192">
        <v>2</v>
      </c>
      <c r="AS192">
        <v>0</v>
      </c>
      <c r="AT192">
        <v>0</v>
      </c>
      <c r="AU192">
        <v>0</v>
      </c>
      <c r="AV192">
        <v>3</v>
      </c>
      <c r="AW192">
        <v>0</v>
      </c>
      <c r="AX192">
        <v>1</v>
      </c>
      <c r="AY192">
        <v>1</v>
      </c>
      <c r="AZ192">
        <v>0</v>
      </c>
      <c r="BA192">
        <v>0</v>
      </c>
      <c r="BB192">
        <v>3</v>
      </c>
      <c r="BC192">
        <v>1</v>
      </c>
      <c r="BD192">
        <v>2</v>
      </c>
      <c r="BE192">
        <v>0</v>
      </c>
      <c r="BF192">
        <v>2</v>
      </c>
      <c r="BG192">
        <v>0</v>
      </c>
      <c r="BH192">
        <v>0</v>
      </c>
      <c r="BI192">
        <v>0</v>
      </c>
    </row>
    <row r="193" spans="3:61" x14ac:dyDescent="0.2">
      <c r="C193" t="s">
        <v>67</v>
      </c>
      <c r="D193" t="s">
        <v>13</v>
      </c>
      <c r="E193" s="46">
        <v>979188</v>
      </c>
      <c r="F193" s="46">
        <v>87237</v>
      </c>
      <c r="G193" s="47">
        <v>177</v>
      </c>
      <c r="H193" s="24">
        <v>0.97857357473743556</v>
      </c>
      <c r="N193">
        <f t="shared" si="45"/>
        <v>0</v>
      </c>
      <c r="O193" t="str">
        <v>Other</v>
      </c>
      <c r="P193" t="str">
        <v>White Choc</v>
      </c>
      <c r="Q193">
        <v>979188</v>
      </c>
      <c r="R193">
        <v>87237</v>
      </c>
      <c r="S193">
        <v>177</v>
      </c>
      <c r="T193">
        <v>0.97857357473743556</v>
      </c>
      <c r="W193" t="str">
        <v>Manuka Honey Choco</v>
      </c>
      <c r="X193">
        <v>948983</v>
      </c>
      <c r="Y193">
        <v>39124</v>
      </c>
      <c r="Z193">
        <v>175</v>
      </c>
      <c r="AA193">
        <v>0.67467130981271528</v>
      </c>
      <c r="AB193">
        <v>0</v>
      </c>
      <c r="AG193" t="str">
        <v>Manuka Honey Choco</v>
      </c>
      <c r="AH193">
        <v>0</v>
      </c>
      <c r="AI193">
        <v>1</v>
      </c>
      <c r="AJ193">
        <v>2</v>
      </c>
      <c r="AK193">
        <v>3</v>
      </c>
      <c r="AL193">
        <v>0</v>
      </c>
      <c r="AM193">
        <v>0</v>
      </c>
      <c r="AN193">
        <v>1</v>
      </c>
      <c r="AO193">
        <v>2</v>
      </c>
      <c r="AP193">
        <v>0</v>
      </c>
      <c r="AQ193">
        <v>1</v>
      </c>
      <c r="AR193">
        <v>1</v>
      </c>
      <c r="AS193">
        <v>0</v>
      </c>
      <c r="AT193">
        <v>0</v>
      </c>
      <c r="AU193">
        <v>0</v>
      </c>
      <c r="AV193">
        <v>1</v>
      </c>
      <c r="AW193">
        <v>3</v>
      </c>
      <c r="AX193">
        <v>0</v>
      </c>
      <c r="AY193">
        <v>2</v>
      </c>
      <c r="AZ193">
        <v>0</v>
      </c>
      <c r="BA193">
        <v>0</v>
      </c>
      <c r="BB193">
        <v>1</v>
      </c>
      <c r="BC193">
        <v>3</v>
      </c>
      <c r="BD193">
        <v>0</v>
      </c>
      <c r="BE193">
        <v>2</v>
      </c>
      <c r="BF193">
        <v>1</v>
      </c>
      <c r="BG193">
        <v>0</v>
      </c>
      <c r="BH193">
        <v>0</v>
      </c>
      <c r="BI193">
        <v>1</v>
      </c>
    </row>
  </sheetData>
  <pageMargins left="0.7" right="0.7" top="0.75" bottom="0.75" header="0.3" footer="0.3"/>
  <pageSetup orientation="portrait" horizontalDpi="200" verticalDpi="200" r:id="rId11"/>
  <ignoredErrors>
    <ignoredError sqref="AC23 AF64 S116" formula="1"/>
  </ignoredErrors>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zoomScale="70" zoomScaleNormal="70" workbookViewId="0">
      <selection activeCell="G10" sqref="G10"/>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99" customHeight="1" x14ac:dyDescent="0.2">
      <c r="C44" s="10" t="s">
        <v>26</v>
      </c>
    </row>
    <row r="45" spans="2:3" ht="99" customHeight="1" x14ac:dyDescent="0.2">
      <c r="C45" s="10" t="s">
        <v>12</v>
      </c>
    </row>
    <row r="46" spans="2:3" ht="99" customHeight="1" x14ac:dyDescent="0.2">
      <c r="C46" s="10" t="s">
        <v>21</v>
      </c>
    </row>
    <row r="47" spans="2:3" ht="99" customHeight="1" x14ac:dyDescent="0.2">
      <c r="C47" s="10" t="s">
        <v>9</v>
      </c>
    </row>
    <row r="48" spans="2:3" ht="99"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E2C9-9ADA-4206-951A-C1295BC568BE}">
  <dimension ref="E8:W38"/>
  <sheetViews>
    <sheetView zoomScale="80" zoomScaleNormal="80" workbookViewId="0">
      <selection activeCell="P14" sqref="P14"/>
    </sheetView>
  </sheetViews>
  <sheetFormatPr defaultColWidth="5.875" defaultRowHeight="14.25" x14ac:dyDescent="0.2"/>
  <cols>
    <col min="1" max="2" width="1.875" style="8" customWidth="1"/>
    <col min="3" max="3" width="14.125" style="8" customWidth="1"/>
    <col min="4" max="4" width="6.25" style="8" customWidth="1"/>
    <col min="5" max="5" width="9.375" style="8" customWidth="1"/>
    <col min="6" max="6" width="3" style="8" customWidth="1"/>
    <col min="7" max="7" width="11" style="8" customWidth="1"/>
    <col min="8" max="8" width="12.875" style="8" customWidth="1"/>
    <col min="9" max="9" width="3" style="8" customWidth="1"/>
    <col min="10" max="10" width="1.125" style="8" customWidth="1"/>
    <col min="11" max="11" width="18.125" style="8" customWidth="1"/>
    <col min="12" max="12" width="16.25" style="8" customWidth="1"/>
    <col min="13" max="13" width="12" style="8" customWidth="1"/>
    <col min="14" max="14" width="14.375" style="8" customWidth="1"/>
    <col min="15" max="15" width="13.25" style="8" customWidth="1"/>
    <col min="16" max="16" width="4.5" style="8" customWidth="1"/>
    <col min="17" max="17" width="1.25" style="8" customWidth="1"/>
    <col min="18" max="18" width="21.875" style="8" bestFit="1" customWidth="1"/>
    <col min="19" max="19" width="23.75" style="8" customWidth="1"/>
    <col min="20" max="20" width="15" style="8" customWidth="1"/>
    <col min="21" max="21" width="14.125" style="8" customWidth="1"/>
    <col min="22" max="22" width="13.125" style="8" customWidth="1"/>
    <col min="23" max="23" width="11" style="8" customWidth="1"/>
    <col min="24" max="24" width="8.25" style="8" customWidth="1"/>
    <col min="25" max="16384" width="5.875" style="8"/>
  </cols>
  <sheetData>
    <row r="8" spans="5:23" ht="16.5" x14ac:dyDescent="0.3">
      <c r="E8" s="29">
        <f>Calculations!V22</f>
        <v>0.63888991401262141</v>
      </c>
      <c r="H8" s="33" t="str">
        <f>Calculations!AE63</f>
        <v>New Zealand</v>
      </c>
    </row>
    <row r="9" spans="5:23" x14ac:dyDescent="0.2">
      <c r="E9" s="31">
        <f xml:space="preserve"> E8</f>
        <v>0.63888991401262141</v>
      </c>
      <c r="H9" s="30" t="str">
        <f>Calculations!AF63</f>
        <v>$3.78 m</v>
      </c>
    </row>
    <row r="10" spans="5:23" x14ac:dyDescent="0.2">
      <c r="E10" s="30"/>
      <c r="H10" s="34" t="str">
        <f>Calculations!AG63</f>
        <v>$1.89 m</v>
      </c>
    </row>
    <row r="11" spans="5:23" x14ac:dyDescent="0.2">
      <c r="E11" s="30"/>
    </row>
    <row r="12" spans="5:23" x14ac:dyDescent="0.2">
      <c r="E12" s="30"/>
      <c r="H12" s="36" t="str">
        <f>Calculations!AE64</f>
        <v>India</v>
      </c>
    </row>
    <row r="13" spans="5:23" x14ac:dyDescent="0.2">
      <c r="E13" s="29">
        <f>Calculations!V23</f>
        <v>1.0972318647085002</v>
      </c>
      <c r="H13" s="36" t="str">
        <f>Calculations!AF64</f>
        <v>$3.76 m</v>
      </c>
    </row>
    <row r="14" spans="5:23" ht="16.5" x14ac:dyDescent="0.3">
      <c r="E14" s="31">
        <f xml:space="preserve"> E13</f>
        <v>1.0972318647085002</v>
      </c>
      <c r="H14" s="35" t="str">
        <f>Calculations!AG64</f>
        <v>$1.90 m</v>
      </c>
      <c r="R14" s="51" t="str">
        <f>Calculations!W171</f>
        <v>Product</v>
      </c>
      <c r="S14" s="51" t="str">
        <f>Calculations!X171</f>
        <v>Sales</v>
      </c>
      <c r="T14" s="51" t="str">
        <f>Calculations!Y171</f>
        <v>Boxes⬇️</v>
      </c>
      <c r="U14" s="51" t="str">
        <f>Calculations!Z171</f>
        <v>Shipments</v>
      </c>
      <c r="V14" s="51" t="str">
        <f>Calculations!AA171</f>
        <v>Profit %</v>
      </c>
      <c r="W14" s="52" t="s">
        <v>131</v>
      </c>
    </row>
    <row r="15" spans="5:23" ht="15" x14ac:dyDescent="0.25">
      <c r="E15" s="30"/>
      <c r="Q15" s="50">
        <f>Calculations!AB172</f>
        <v>1</v>
      </c>
      <c r="R15" s="39" t="str">
        <f>Calculations!W172</f>
        <v>Orange Choco</v>
      </c>
      <c r="S15" s="48">
        <f>Calculations!X172</f>
        <v>946099</v>
      </c>
      <c r="T15" s="49">
        <f>Calculations!Y172</f>
        <v>96847</v>
      </c>
      <c r="U15" s="39">
        <f>Calculations!Z172</f>
        <v>175</v>
      </c>
      <c r="V15" s="40">
        <f>Calculations!AA172</f>
        <v>0.10052268420112455</v>
      </c>
    </row>
    <row r="16" spans="5:23" ht="15" x14ac:dyDescent="0.25">
      <c r="E16" s="30"/>
      <c r="Q16" s="50">
        <f>Calculations!AB173</f>
        <v>1</v>
      </c>
      <c r="R16" s="39" t="str">
        <f>Calculations!W173</f>
        <v>Baker's Choco Chips</v>
      </c>
      <c r="S16" s="48">
        <f>Calculations!X173</f>
        <v>932491</v>
      </c>
      <c r="T16" s="49">
        <f>Calculations!Y173</f>
        <v>75226</v>
      </c>
      <c r="U16" s="39">
        <f>Calculations!Z173</f>
        <v>173</v>
      </c>
      <c r="V16" s="40">
        <f>Calculations!AA173</f>
        <v>0.50942493965089186</v>
      </c>
    </row>
    <row r="17" spans="5:22" ht="15" x14ac:dyDescent="0.25">
      <c r="E17" s="30"/>
      <c r="H17" s="36" t="str">
        <f>Calculations!AE65</f>
        <v>UK</v>
      </c>
      <c r="Q17" s="50">
        <f>Calculations!AB174</f>
        <v>1</v>
      </c>
      <c r="R17" s="39" t="str">
        <f>Calculations!W174</f>
        <v>Fruit &amp; Nut Bars</v>
      </c>
      <c r="S17" s="48">
        <f>Calculations!X174</f>
        <v>943551</v>
      </c>
      <c r="T17" s="49">
        <f>Calculations!Y174</f>
        <v>74319</v>
      </c>
      <c r="U17" s="39">
        <f>Calculations!Z174</f>
        <v>172</v>
      </c>
      <c r="V17" s="40">
        <f>Calculations!AA174</f>
        <v>0.87448762547016545</v>
      </c>
    </row>
    <row r="18" spans="5:22" ht="15" x14ac:dyDescent="0.25">
      <c r="E18" s="29">
        <f>Calculations!V24</f>
        <v>0.53416149068322971</v>
      </c>
      <c r="H18" s="36" t="str">
        <f>Calculations!AF65</f>
        <v>$3.59 m</v>
      </c>
      <c r="Q18" s="50">
        <f>Calculations!AB175</f>
        <v>1</v>
      </c>
      <c r="R18" s="39" t="str">
        <f>Calculations!W175</f>
        <v>85% Dark Bars</v>
      </c>
      <c r="S18" s="48">
        <f>Calculations!X175</f>
        <v>1015994</v>
      </c>
      <c r="T18" s="49">
        <f>Calculations!Y175</f>
        <v>66004</v>
      </c>
      <c r="U18" s="39">
        <f>Calculations!Z175</f>
        <v>174</v>
      </c>
      <c r="V18" s="40">
        <f>Calculations!AA175</f>
        <v>0.95479738738614595</v>
      </c>
    </row>
    <row r="19" spans="5:22" ht="15" x14ac:dyDescent="0.25">
      <c r="E19" s="31">
        <f xml:space="preserve"> E18</f>
        <v>0.53416149068322971</v>
      </c>
      <c r="H19" s="35" t="str">
        <f>Calculations!AG65</f>
        <v>$1.82 m</v>
      </c>
      <c r="Q19" s="53">
        <f>Calculations!AB176</f>
        <v>1</v>
      </c>
      <c r="R19" s="39" t="str">
        <f>Calculations!W176</f>
        <v>Smooth Sliky Salty</v>
      </c>
      <c r="S19" s="48">
        <f>Calculations!X176</f>
        <v>990794</v>
      </c>
      <c r="T19" s="49">
        <f>Calculations!Y176</f>
        <v>61790</v>
      </c>
      <c r="U19" s="39">
        <f>Calculations!Z176</f>
        <v>170</v>
      </c>
      <c r="V19" s="40">
        <f>Calculations!AA176</f>
        <v>0.68694456970873874</v>
      </c>
    </row>
    <row r="20" spans="5:22" ht="15" x14ac:dyDescent="0.25">
      <c r="E20" s="30"/>
      <c r="Q20" s="53">
        <f>Calculations!AB177</f>
        <v>1</v>
      </c>
      <c r="R20" s="39" t="str">
        <f>Calculations!W177</f>
        <v>99% Dark &amp; Pure</v>
      </c>
      <c r="S20" s="48">
        <f>Calculations!X177</f>
        <v>1089312</v>
      </c>
      <c r="T20" s="49">
        <f>Calculations!Y177</f>
        <v>60878</v>
      </c>
      <c r="U20" s="39">
        <f>Calculations!Z177</f>
        <v>179</v>
      </c>
      <c r="V20" s="40">
        <f>Calculations!AA177</f>
        <v>0.73961291383919403</v>
      </c>
    </row>
    <row r="21" spans="5:22" ht="15" x14ac:dyDescent="0.25">
      <c r="E21" s="30"/>
      <c r="Q21" s="53">
        <f>Calculations!AB178</f>
        <v>1</v>
      </c>
      <c r="R21" s="39" t="str">
        <f>Calculations!W178</f>
        <v>Raspberry Choco</v>
      </c>
      <c r="S21" s="48">
        <f>Calculations!X178</f>
        <v>1005046</v>
      </c>
      <c r="T21" s="49">
        <f>Calculations!Y178</f>
        <v>55688</v>
      </c>
      <c r="U21" s="39">
        <f>Calculations!Z178</f>
        <v>173</v>
      </c>
      <c r="V21" s="40">
        <f>Calculations!AA178</f>
        <v>0.66210289837480074</v>
      </c>
    </row>
    <row r="22" spans="5:22" ht="16.5" x14ac:dyDescent="0.3">
      <c r="E22" s="30"/>
      <c r="H22" s="36" t="str">
        <f>Calculations!AE66</f>
        <v>Canada</v>
      </c>
      <c r="K22" s="51" t="str">
        <f>Calculations!S115</f>
        <v>Sales Person</v>
      </c>
      <c r="L22" s="51" t="str">
        <f>Calculations!S116</f>
        <v>Sales⬇️</v>
      </c>
      <c r="M22" s="51" t="str">
        <f>Calculations!S117</f>
        <v>Profit</v>
      </c>
      <c r="N22" s="51" t="str">
        <f>Calculations!S118</f>
        <v>Profit %</v>
      </c>
      <c r="O22" s="52" t="s">
        <v>145</v>
      </c>
      <c r="Q22" s="53">
        <f>Calculations!AB179</f>
        <v>1</v>
      </c>
      <c r="R22" s="39" t="str">
        <f>Calculations!W179</f>
        <v>Almond Choco</v>
      </c>
      <c r="S22" s="48">
        <f>Calculations!X179</f>
        <v>995050</v>
      </c>
      <c r="T22" s="49">
        <f>Calculations!Y179</f>
        <v>52337</v>
      </c>
      <c r="U22" s="39">
        <f>Calculations!Z179</f>
        <v>168</v>
      </c>
      <c r="V22" s="40">
        <f>Calculations!AA179</f>
        <v>0.29790418119692502</v>
      </c>
    </row>
    <row r="23" spans="5:22" ht="15" x14ac:dyDescent="0.25">
      <c r="E23" s="29">
        <f>Calculations!V25</f>
        <v>0.50755752041189806</v>
      </c>
      <c r="H23" s="36" t="str">
        <f>Calculations!AF66</f>
        <v>$3.58 m</v>
      </c>
      <c r="K23" s="39" t="str" cm="1">
        <f t="array" ref="K23:N27">_xlfn.ANCHORARRAY(Calculations!$K$100)</f>
        <v>Madelene Upcott</v>
      </c>
      <c r="L23" s="41">
        <v>897554</v>
      </c>
      <c r="M23" s="41">
        <v>597610.71669999999</v>
      </c>
      <c r="N23" s="40">
        <v>0.66582146221842919</v>
      </c>
      <c r="Q23" s="53">
        <f>Calculations!AB180</f>
        <v>1</v>
      </c>
      <c r="R23" s="39" t="str">
        <f>Calculations!W180</f>
        <v>Mint Chip Choco</v>
      </c>
      <c r="S23" s="48">
        <f>Calculations!X180</f>
        <v>889056</v>
      </c>
      <c r="T23" s="49">
        <f>Calculations!Y180</f>
        <v>50948</v>
      </c>
      <c r="U23" s="39">
        <f>Calculations!Z180</f>
        <v>168</v>
      </c>
      <c r="V23" s="40">
        <f>Calculations!AA180</f>
        <v>0.87016814598855419</v>
      </c>
    </row>
    <row r="24" spans="5:22" ht="15" x14ac:dyDescent="0.25">
      <c r="E24" s="31">
        <f xml:space="preserve"> E23</f>
        <v>0.50755752041189806</v>
      </c>
      <c r="H24" s="35" t="str">
        <f>Calculations!AG66</f>
        <v>$1.72 m</v>
      </c>
      <c r="K24" s="39" t="str">
        <v>Andria Kimpton</v>
      </c>
      <c r="L24" s="41">
        <v>867510</v>
      </c>
      <c r="M24" s="41">
        <v>633091.56099999999</v>
      </c>
      <c r="N24" s="40">
        <v>0.7297801304884094</v>
      </c>
      <c r="Q24" s="53">
        <f>Calculations!AB181</f>
        <v>1</v>
      </c>
      <c r="R24" s="39" t="str">
        <f>Calculations!W181</f>
        <v>Caramel Stuffed Bars</v>
      </c>
      <c r="S24" s="48">
        <f>Calculations!X181</f>
        <v>994021</v>
      </c>
      <c r="T24" s="49">
        <f>Calculations!Y181</f>
        <v>48730</v>
      </c>
      <c r="U24" s="39">
        <f>Calculations!Z181</f>
        <v>175</v>
      </c>
      <c r="V24" s="40">
        <f>Calculations!AA181</f>
        <v>0.95592822485641649</v>
      </c>
    </row>
    <row r="25" spans="5:22" ht="15" x14ac:dyDescent="0.25">
      <c r="E25" s="30"/>
      <c r="K25" s="39" t="str">
        <v>Oby Sorrel</v>
      </c>
      <c r="L25" s="41">
        <v>860083</v>
      </c>
      <c r="M25" s="41">
        <v>572484.34459999995</v>
      </c>
      <c r="N25" s="40">
        <v>0.66561523085562668</v>
      </c>
      <c r="Q25" s="53">
        <f>Calculations!AB182</f>
        <v>1</v>
      </c>
      <c r="R25" s="39" t="str">
        <f>Calculations!W182</f>
        <v>Milk Bars</v>
      </c>
      <c r="S25" s="48">
        <f>Calculations!X182</f>
        <v>942921</v>
      </c>
      <c r="T25" s="49">
        <f>Calculations!Y182</f>
        <v>37635</v>
      </c>
      <c r="U25" s="39">
        <f>Calculations!Z182</f>
        <v>170</v>
      </c>
      <c r="V25" s="40">
        <f>Calculations!AA182</f>
        <v>0.92555388839574049</v>
      </c>
    </row>
    <row r="26" spans="5:22" ht="15" x14ac:dyDescent="0.25">
      <c r="E26" s="30"/>
      <c r="K26" s="39" t="str">
        <v>Beverie Moffet</v>
      </c>
      <c r="L26" s="41">
        <v>817572</v>
      </c>
      <c r="M26" s="41">
        <v>579961.52909999993</v>
      </c>
      <c r="N26" s="40">
        <v>0.70937058644376261</v>
      </c>
      <c r="Q26" s="53">
        <f>Calculations!AB183</f>
        <v>0</v>
      </c>
      <c r="R26" s="39" t="str">
        <f>Calculations!W183</f>
        <v>White Choc</v>
      </c>
      <c r="S26" s="48">
        <f>Calculations!X183</f>
        <v>979188</v>
      </c>
      <c r="T26" s="49">
        <f>Calculations!Y183</f>
        <v>87237</v>
      </c>
      <c r="U26" s="39">
        <f>Calculations!Z183</f>
        <v>177</v>
      </c>
      <c r="V26" s="40">
        <f>Calculations!AA183</f>
        <v>0.97857357473743556</v>
      </c>
    </row>
    <row r="27" spans="5:22" ht="15" x14ac:dyDescent="0.25">
      <c r="E27" s="30"/>
      <c r="H27" s="36" t="str">
        <f>Calculations!AE67</f>
        <v>Australia</v>
      </c>
      <c r="K27" s="39" t="str">
        <v>Brien Boise</v>
      </c>
      <c r="L27" s="41">
        <v>794920</v>
      </c>
      <c r="M27" s="41">
        <v>529082.27729999996</v>
      </c>
      <c r="N27" s="40">
        <v>0.6655792750213857</v>
      </c>
      <c r="Q27" s="53">
        <f>Calculations!AB184</f>
        <v>0</v>
      </c>
      <c r="R27" s="39" t="str">
        <f>Calculations!W184</f>
        <v>50% Dark Bites</v>
      </c>
      <c r="S27" s="48">
        <f>Calculations!X184</f>
        <v>1030323</v>
      </c>
      <c r="T27" s="49">
        <f>Calculations!Y184</f>
        <v>86978</v>
      </c>
      <c r="U27" s="39">
        <f>Calculations!Z184</f>
        <v>170</v>
      </c>
      <c r="V27" s="40">
        <f>Calculations!AA184</f>
        <v>0.76362907554233006</v>
      </c>
    </row>
    <row r="28" spans="5:22" ht="15" x14ac:dyDescent="0.25">
      <c r="E28" s="29">
        <f>Calculations!V26</f>
        <v>0.69450319977255837</v>
      </c>
      <c r="H28" s="36" t="str">
        <f>Calculations!AF67</f>
        <v>$3.55 m</v>
      </c>
      <c r="K28" s="39"/>
      <c r="L28" s="41"/>
      <c r="M28" s="41"/>
      <c r="N28" s="40"/>
      <c r="Q28" s="53">
        <f>Calculations!AB185</f>
        <v>0</v>
      </c>
      <c r="R28" s="39" t="str">
        <f>Calculations!W185</f>
        <v>70% Dark Bites</v>
      </c>
      <c r="S28" s="48">
        <f>Calculations!X185</f>
        <v>938049</v>
      </c>
      <c r="T28" s="49">
        <f>Calculations!Y185</f>
        <v>82174</v>
      </c>
      <c r="U28" s="39">
        <f>Calculations!Z185</f>
        <v>163</v>
      </c>
      <c r="V28" s="40">
        <f>Calculations!AA185</f>
        <v>0.2779139846639142</v>
      </c>
    </row>
    <row r="29" spans="5:22" ht="15" x14ac:dyDescent="0.25">
      <c r="E29" s="31">
        <f xml:space="preserve"> E28</f>
        <v>0.69450319977255837</v>
      </c>
      <c r="H29" s="35" t="str">
        <f>Calculations!AG67</f>
        <v>$1.75 m</v>
      </c>
      <c r="K29" s="39"/>
      <c r="L29" s="41"/>
      <c r="M29" s="41"/>
      <c r="N29" s="40"/>
      <c r="Q29" s="53">
        <f>Calculations!AB186</f>
        <v>0</v>
      </c>
      <c r="R29" s="39" t="str">
        <f>Calculations!W186</f>
        <v>Eclairs</v>
      </c>
      <c r="S29" s="48">
        <f>Calculations!X186</f>
        <v>992271</v>
      </c>
      <c r="T29" s="49">
        <f>Calculations!Y186</f>
        <v>64557</v>
      </c>
      <c r="U29" s="39">
        <f>Calculations!Z186</f>
        <v>170</v>
      </c>
      <c r="V29" s="40">
        <f>Calculations!AA186</f>
        <v>0.81656375979949025</v>
      </c>
    </row>
    <row r="30" spans="5:22" ht="15" x14ac:dyDescent="0.25">
      <c r="E30" s="30"/>
      <c r="K30" s="39"/>
      <c r="L30" s="41"/>
      <c r="M30" s="41"/>
      <c r="N30" s="40"/>
      <c r="Q30" s="53">
        <f>Calculations!AB187</f>
        <v>0</v>
      </c>
      <c r="R30" s="39" t="str">
        <f>Calculations!W187</f>
        <v>Choco Coated Almonds</v>
      </c>
      <c r="S30" s="48">
        <f>Calculations!X187</f>
        <v>1075109</v>
      </c>
      <c r="T30" s="49">
        <f>Calculations!Y187</f>
        <v>59624</v>
      </c>
      <c r="U30" s="39">
        <f>Calculations!Z187</f>
        <v>172</v>
      </c>
      <c r="V30" s="40">
        <f>Calculations!AA187</f>
        <v>0.36395683488836933</v>
      </c>
    </row>
    <row r="31" spans="5:22" ht="15" x14ac:dyDescent="0.25">
      <c r="E31" s="30"/>
      <c r="K31" s="39"/>
      <c r="L31" s="41"/>
      <c r="M31" s="41"/>
      <c r="N31" s="40"/>
      <c r="Q31" s="53">
        <f>Calculations!AB188</f>
        <v>0</v>
      </c>
      <c r="R31" s="39" t="str">
        <f>Calculations!W188</f>
        <v>Spicy Special Slims</v>
      </c>
      <c r="S31" s="48">
        <f>Calculations!X188</f>
        <v>1029490</v>
      </c>
      <c r="T31" s="49">
        <f>Calculations!Y188</f>
        <v>58052</v>
      </c>
      <c r="U31" s="39">
        <f>Calculations!Z188</f>
        <v>171</v>
      </c>
      <c r="V31" s="40">
        <f>Calculations!AA188</f>
        <v>0.48073546396759537</v>
      </c>
    </row>
    <row r="32" spans="5:22" ht="15" x14ac:dyDescent="0.25">
      <c r="E32" s="30"/>
      <c r="H32" s="36" t="str">
        <f>Calculations!AE68</f>
        <v>USA</v>
      </c>
      <c r="K32" s="39"/>
      <c r="L32" s="41"/>
      <c r="M32" s="41"/>
      <c r="N32" s="40"/>
      <c r="Q32" s="53">
        <f>Calculations!AB189</f>
        <v>0</v>
      </c>
      <c r="R32" s="39" t="str">
        <f>Calculations!W189</f>
        <v>Peanut Butter Cubes</v>
      </c>
      <c r="S32" s="48">
        <f>Calculations!X189</f>
        <v>987525</v>
      </c>
      <c r="T32" s="49">
        <f>Calculations!Y189</f>
        <v>50674</v>
      </c>
      <c r="U32" s="39">
        <f>Calculations!Z189</f>
        <v>176</v>
      </c>
      <c r="V32" s="40">
        <f>Calculations!AA189</f>
        <v>0.75848998151945535</v>
      </c>
    </row>
    <row r="33" spans="5:23" ht="15" x14ac:dyDescent="0.25">
      <c r="E33" s="29">
        <f>Calculations!V27</f>
        <v>3.3933509068815093E-2</v>
      </c>
      <c r="H33" s="36" t="str">
        <f>Calculations!AF68</f>
        <v>$3.45 m</v>
      </c>
      <c r="K33" s="39"/>
      <c r="L33" s="41"/>
      <c r="M33" s="41"/>
      <c r="N33" s="40"/>
      <c r="Q33" s="53">
        <f>Calculations!AB190</f>
        <v>0</v>
      </c>
      <c r="R33" s="39" t="str">
        <f>Calculations!W190</f>
        <v>Drinking Coco</v>
      </c>
      <c r="S33" s="48">
        <f>Calculations!X190</f>
        <v>902384</v>
      </c>
      <c r="T33" s="49">
        <f>Calculations!Y190</f>
        <v>50098</v>
      </c>
      <c r="U33" s="39">
        <f>Calculations!Z190</f>
        <v>167</v>
      </c>
      <c r="V33" s="40">
        <f>Calculations!AA190</f>
        <v>0.86246123025230936</v>
      </c>
    </row>
    <row r="34" spans="5:23" ht="15" x14ac:dyDescent="0.25">
      <c r="E34" s="31">
        <f xml:space="preserve"> E33</f>
        <v>3.3933509068815093E-2</v>
      </c>
      <c r="H34" s="35" t="str">
        <f>Calculations!AG68</f>
        <v>$1.66 m</v>
      </c>
      <c r="K34" s="39"/>
      <c r="L34" s="41"/>
      <c r="M34" s="41"/>
      <c r="N34" s="40"/>
      <c r="Q34" s="53">
        <f>Calculations!AB191</f>
        <v>0</v>
      </c>
      <c r="R34" s="39" t="str">
        <f>Calculations!W191</f>
        <v>Organic Choco Syrup</v>
      </c>
      <c r="S34" s="48">
        <f>Calculations!X191</f>
        <v>1047011</v>
      </c>
      <c r="T34" s="49">
        <f>Calculations!Y191</f>
        <v>45761</v>
      </c>
      <c r="U34" s="39">
        <f>Calculations!Z191</f>
        <v>178</v>
      </c>
      <c r="V34" s="40">
        <f>Calculations!AA191</f>
        <v>0.92296760731262617</v>
      </c>
    </row>
    <row r="35" spans="5:23" ht="13.5" customHeight="1" x14ac:dyDescent="0.25">
      <c r="E35" s="30"/>
      <c r="K35" s="39"/>
      <c r="L35" s="41"/>
      <c r="M35" s="41"/>
      <c r="N35" s="40"/>
      <c r="Q35" s="53">
        <f>Calculations!AB192</f>
        <v>0</v>
      </c>
      <c r="R35" s="39" t="str">
        <f>Calculations!W192</f>
        <v>After Nines</v>
      </c>
      <c r="S35" s="48">
        <f>Calculations!X192</f>
        <v>1027054</v>
      </c>
      <c r="T35" s="49">
        <f>Calculations!Y192</f>
        <v>39893</v>
      </c>
      <c r="U35" s="39">
        <f>Calculations!Z192</f>
        <v>175</v>
      </c>
      <c r="V35" s="40">
        <f>Calculations!AA192</f>
        <v>0.75367853219012826</v>
      </c>
    </row>
    <row r="36" spans="5:23" ht="12.75" customHeight="1" x14ac:dyDescent="0.25">
      <c r="K36" s="39"/>
      <c r="L36" s="41"/>
      <c r="M36" s="41"/>
      <c r="N36" s="40"/>
      <c r="Q36" s="53">
        <f>Calculations!AB193</f>
        <v>0</v>
      </c>
      <c r="R36" s="39" t="str">
        <f>Calculations!W193</f>
        <v>Manuka Honey Choco</v>
      </c>
      <c r="S36" s="48">
        <f>Calculations!X193</f>
        <v>948983</v>
      </c>
      <c r="T36" s="49">
        <f>Calculations!Y193</f>
        <v>39124</v>
      </c>
      <c r="U36" s="39">
        <f>Calculations!Z193</f>
        <v>175</v>
      </c>
      <c r="V36" s="40">
        <f>Calculations!AA193</f>
        <v>0.67467130981271528</v>
      </c>
    </row>
    <row r="37" spans="5:23" ht="15" customHeight="1" x14ac:dyDescent="0.2"/>
    <row r="38" spans="5:23" ht="45.6" customHeight="1" x14ac:dyDescent="0.2">
      <c r="G38" s="37" t="s">
        <v>157</v>
      </c>
      <c r="H38" s="44" t="s">
        <v>145</v>
      </c>
      <c r="K38" s="37" t="s">
        <v>179</v>
      </c>
      <c r="L38" s="44" t="s">
        <v>78</v>
      </c>
      <c r="M38" s="37" t="s">
        <v>157</v>
      </c>
      <c r="N38" s="44" t="s">
        <v>145</v>
      </c>
      <c r="O38" s="44"/>
      <c r="R38" s="37" t="s">
        <v>189</v>
      </c>
      <c r="S38" s="37" t="s">
        <v>7</v>
      </c>
      <c r="T38" s="37" t="s">
        <v>199</v>
      </c>
      <c r="U38" s="44" t="s">
        <v>191</v>
      </c>
      <c r="V38" s="44"/>
      <c r="W38" s="44"/>
    </row>
  </sheetData>
  <conditionalFormatting sqref="L23:L35">
    <cfRule type="dataBar" priority="12">
      <dataBar>
        <cfvo type="num" val="0"/>
        <cfvo type="num" val=" amount.bar.limit"/>
        <color rgb="FF008AEF"/>
      </dataBar>
      <extLst>
        <ext xmlns:x14="http://schemas.microsoft.com/office/spreadsheetml/2009/9/main" uri="{B025F937-C7B1-47D3-B67F-A62EFF666E3E}">
          <x14:id>{515A5C6E-CAC5-461D-8C4D-80C98FAB6C16}</x14:id>
        </ext>
      </extLst>
    </cfRule>
  </conditionalFormatting>
  <conditionalFormatting sqref="N23:N36">
    <cfRule type="expression" priority="10" stopIfTrue="1">
      <formula>profit.icon="Off"</formula>
    </cfRule>
    <cfRule type="iconSet" priority="11">
      <iconSet>
        <cfvo type="percent" val="0"/>
        <cfvo type="num" val="0.4"/>
        <cfvo type="num" val="0.6"/>
      </iconSet>
    </cfRule>
  </conditionalFormatting>
  <conditionalFormatting sqref="J23:J33">
    <cfRule type="expression" dxfId="4" priority="8">
      <formula xml:space="preserve"> $K23&lt;&gt;""</formula>
    </cfRule>
  </conditionalFormatting>
  <conditionalFormatting sqref="K23:O34">
    <cfRule type="expression" dxfId="3" priority="6">
      <formula>AND($K23&lt;&gt;"",MOD(ROWS($K$23:$K23),2)=0)</formula>
    </cfRule>
  </conditionalFormatting>
  <conditionalFormatting sqref="S15:S36">
    <cfRule type="dataBar" priority="5">
      <dataBar>
        <cfvo type="num" val="0"/>
        <cfvo type="num" val="amount.bar.limit2"/>
        <color rgb="FF008AEF"/>
      </dataBar>
      <extLst>
        <ext xmlns:x14="http://schemas.microsoft.com/office/spreadsheetml/2009/9/main" uri="{B025F937-C7B1-47D3-B67F-A62EFF666E3E}">
          <x14:id>{8D198545-157B-49B1-B60A-1E4A40C51790}</x14:id>
        </ext>
      </extLst>
    </cfRule>
  </conditionalFormatting>
  <conditionalFormatting sqref="Q15:Q36">
    <cfRule type="expression" dxfId="2" priority="4">
      <formula xml:space="preserve"> Q15=1</formula>
    </cfRule>
  </conditionalFormatting>
  <conditionalFormatting sqref="V15:V36">
    <cfRule type="iconSet" priority="3">
      <iconSet>
        <cfvo type="percent" val="0"/>
        <cfvo type="num" val="0.4"/>
        <cfvo type="num" val="0.6"/>
      </iconSet>
    </cfRule>
    <cfRule type="expression" priority="2" stopIfTrue="1">
      <formula>profit.icon="Off"</formula>
    </cfRule>
  </conditionalFormatting>
  <conditionalFormatting sqref="R15:W36">
    <cfRule type="expression" dxfId="1" priority="1">
      <formula>AND($R15&lt;&gt;"",MOD(ROWS($R$15:$R15),2)=0)</formula>
    </cfRule>
  </conditionalFormatting>
  <dataValidations count="6">
    <dataValidation type="list" allowBlank="1" showInputMessage="1" showErrorMessage="1" sqref="H38" xr:uid="{7C0CA2E3-1572-476A-BBA1-AC18BF74CB02}">
      <formula1>sort.options.country.list</formula1>
    </dataValidation>
    <dataValidation type="list" allowBlank="1" showInputMessage="1" showErrorMessage="1" sqref="O22 W14" xr:uid="{ECDD656E-79C5-49CD-B1C1-E33560897DF1}">
      <formula1>graph.options</formula1>
    </dataValidation>
    <dataValidation type="list" allowBlank="1" showInputMessage="1" showErrorMessage="1" sqref="L38" xr:uid="{5CD7E4DE-15BF-49DA-95DF-5837444DCD33}">
      <formula1>team.names</formula1>
    </dataValidation>
    <dataValidation type="list" allowBlank="1" showInputMessage="1" showErrorMessage="1" sqref="N38" xr:uid="{3093511F-9673-4CBE-A40E-077ACC120B64}">
      <formula1>sort.options.for.people.table</formula1>
    </dataValidation>
    <dataValidation type="list" allowBlank="1" showInputMessage="1" showErrorMessage="1" sqref="S38" xr:uid="{19D90827-B36C-4DAA-897C-E6E3A7CF9CD6}">
      <formula1>sort.options.products.table</formula1>
    </dataValidation>
    <dataValidation type="list" allowBlank="1" showInputMessage="1" showErrorMessage="1" sqref="U38" xr:uid="{81AF645E-39C5-4C85-9396-49394E547BD0}">
      <formula1>"On, Off"</formula1>
    </dataValidation>
  </dataValidations>
  <pageMargins left="0.7" right="0.7" top="0.75" bottom="0.75" header="0.3" footer="0.3"/>
  <pageSetup orientation="portrait" horizontalDpi="200" verticalDpi="200" r:id="rId1"/>
  <drawing r:id="rId2"/>
  <legacyDrawing r:id="rId3"/>
  <extLst>
    <ext xmlns:x14="http://schemas.microsoft.com/office/spreadsheetml/2009/9/main" uri="{78C0D931-6437-407d-A8EE-F0AAD7539E65}">
      <x14:conditionalFormattings>
        <x14:conditionalFormatting xmlns:xm="http://schemas.microsoft.com/office/excel/2006/main">
          <x14:cfRule type="dataBar" id="{515A5C6E-CAC5-461D-8C4D-80C98FAB6C16}">
            <x14:dataBar minLength="0" maxLength="100" gradient="0">
              <x14:cfvo type="num">
                <xm:f>0</xm:f>
              </x14:cfvo>
              <x14:cfvo type="num">
                <xm:f xml:space="preserve"> amount.bar.limit</xm:f>
              </x14:cfvo>
              <x14:negativeFillColor rgb="FFFF0000"/>
              <x14:axisColor rgb="FF000000"/>
            </x14:dataBar>
          </x14:cfRule>
          <xm:sqref>L23:L35</xm:sqref>
        </x14:conditionalFormatting>
        <x14:conditionalFormatting xmlns:xm="http://schemas.microsoft.com/office/excel/2006/main">
          <x14:cfRule type="dataBar" id="{8D198545-157B-49B1-B60A-1E4A40C51790}">
            <x14:dataBar minLength="0" maxLength="100" gradient="0">
              <x14:cfvo type="num">
                <xm:f>0</xm:f>
              </x14:cfvo>
              <x14:cfvo type="num">
                <xm:f>amount.bar.limit2</xm:f>
              </x14:cfvo>
              <x14:negativeFillColor rgb="FFFF0000"/>
              <x14:axisColor rgb="FF000000"/>
            </x14:dataBar>
          </x14:cfRule>
          <xm:sqref>S15:S36</xm:sqref>
        </x14:conditionalFormatting>
        <x14:conditionalFormatting xmlns:xm="http://schemas.microsoft.com/office/excel/2006/main">
          <x14:cfRule type="iconSet" priority="19" id="{C6DCFD92-5424-4ECD-B63D-501CB8A47C25}">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expression" priority="13" id="{F2790CE3-D27F-4F43-99C2-13CBBE9BBA0F}">
            <xm:f>Calculations!$F$5 &lt; 3</xm:f>
            <x14:dxf>
              <font>
                <color theme="5"/>
              </font>
            </x14:dxf>
          </x14:cfRule>
          <xm:sqref>E9 E14 E19 E24 E29 E34</xm:sqref>
        </x14:conditionalFormatting>
        <x14:conditionalFormatting xmlns:xm="http://schemas.microsoft.com/office/excel/2006/main">
          <x14:cfRule type="iconSet" priority="18" id="{A1D58465-8550-4CAD-A08F-05F4DAE41FE7}">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17" id="{E68B3850-FBF9-46CF-B1BC-7DF269D0EBAF}">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16" id="{394DBF7C-8609-410F-9AE2-FE1F3966D4B0}">
            <x14:iconSet iconSet="3Triangles" showValue="0">
              <x14:cfvo type="percent">
                <xm:f>0</xm:f>
              </x14:cfvo>
              <x14:cfvo type="num">
                <xm:f>0</xm:f>
              </x14:cfvo>
              <x14:cfvo type="num">
                <xm:f>0</xm:f>
              </x14:cfvo>
            </x14:iconSet>
          </x14:cfRule>
          <xm:sqref>E23</xm:sqref>
        </x14:conditionalFormatting>
        <x14:conditionalFormatting xmlns:xm="http://schemas.microsoft.com/office/excel/2006/main">
          <x14:cfRule type="iconSet" priority="15" id="{FD4EF92B-3AF9-40E1-BD65-0EFF9E164AD9}">
            <x14:iconSet iconSet="3Triangles" showValue="0">
              <x14:cfvo type="percent">
                <xm:f>0</xm:f>
              </x14:cfvo>
              <x14:cfvo type="num">
                <xm:f>0</xm:f>
              </x14:cfvo>
              <x14:cfvo type="num">
                <xm:f>0</xm:f>
              </x14:cfvo>
            </x14:iconSet>
          </x14:cfRule>
          <xm:sqref>E28</xm:sqref>
        </x14:conditionalFormatting>
        <x14:conditionalFormatting xmlns:xm="http://schemas.microsoft.com/office/excel/2006/main">
          <x14:cfRule type="iconSet" priority="14" id="{64E1617B-964C-41E1-828F-F8B627227F3F}">
            <x14:iconSet iconSet="3Triangles" showValue="0">
              <x14:cfvo type="percent">
                <xm:f>0</xm:f>
              </x14:cfvo>
              <x14:cfvo type="num">
                <xm:f>0</xm:f>
              </x14:cfvo>
              <x14:cfvo type="num">
                <xm:f>0</xm:f>
              </x14:cfvo>
            </x14:iconSet>
          </x14:cfRule>
          <xm:sqref>E33</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3D7C5EB-9761-4B54-A716-34A2E14EE788}">
          <x14:colorSeries theme="5" tint="-0.249977111117893"/>
          <x14:colorNegative rgb="FFD00000"/>
          <x14:colorAxis rgb="FF000000"/>
          <x14:colorMarkers rgb="FFD00000"/>
          <x14:colorFirst rgb="FFD00000"/>
          <x14:colorLast rgb="FFD00000"/>
          <x14:colorHigh rgb="FFD00000"/>
          <x14:colorLow rgb="FFD00000"/>
          <x14:sparklines>
            <x14:sparkline>
              <xm:f>Calculations!U100:AV100</xm:f>
              <xm:sqref>O23</xm:sqref>
            </x14:sparkline>
            <x14:sparkline>
              <xm:f>Calculations!U101:AV101</xm:f>
              <xm:sqref>O24</xm:sqref>
            </x14:sparkline>
            <x14:sparkline>
              <xm:f>Calculations!U102:AV102</xm:f>
              <xm:sqref>O25</xm:sqref>
            </x14:sparkline>
            <x14:sparkline>
              <xm:f>Calculations!U103:AV103</xm:f>
              <xm:sqref>O26</xm:sqref>
            </x14:sparkline>
            <x14:sparkline>
              <xm:f>Calculations!U104:AV104</xm:f>
              <xm:sqref>O27</xm:sqref>
            </x14:sparkline>
            <x14:sparkline>
              <xm:f>Calculations!U105:AV105</xm:f>
              <xm:sqref>O28</xm:sqref>
            </x14:sparkline>
            <x14:sparkline>
              <xm:f>Calculations!U106:AV106</xm:f>
              <xm:sqref>O29</xm:sqref>
            </x14:sparkline>
            <x14:sparkline>
              <xm:f>Calculations!U107:AV107</xm:f>
              <xm:sqref>O30</xm:sqref>
            </x14:sparkline>
            <x14:sparkline>
              <xm:f>Calculations!U108:AV108</xm:f>
              <xm:sqref>O31</xm:sqref>
            </x14:sparkline>
            <x14:sparkline>
              <xm:f>Calculations!U109:AV109</xm:f>
              <xm:sqref>O32</xm:sqref>
            </x14:sparkline>
            <x14:sparkline>
              <xm:f>Calculations!U110:AV110</xm:f>
              <xm:sqref>O33</xm:sqref>
            </x14:sparkline>
            <x14:sparkline>
              <xm:f>Calculations!U111:AV111</xm:f>
              <xm:sqref>O34</xm:sqref>
            </x14:sparkline>
          </x14:sparklines>
        </x14:sparklineGroup>
        <x14:sparklineGroup type="column" displayEmptyCellsAs="gap" xr2:uid="{8DEEACF7-B48C-48F4-92B8-BDDCF62D3624}">
          <x14:colorSeries theme="5" tint="-0.249977111117893"/>
          <x14:colorNegative rgb="FFD00000"/>
          <x14:colorAxis rgb="FF000000"/>
          <x14:colorMarkers rgb="FFD00000"/>
          <x14:colorFirst rgb="FFD00000"/>
          <x14:colorLast rgb="FFD00000"/>
          <x14:colorHigh rgb="FFD00000"/>
          <x14:colorLow rgb="FFD00000"/>
          <x14:sparklines>
            <x14:sparkline>
              <xm:f>Calculations!AH172:BI172</xm:f>
              <xm:sqref>W15</xm:sqref>
            </x14:sparkline>
            <x14:sparkline>
              <xm:f>Calculations!AH173:BI173</xm:f>
              <xm:sqref>W16</xm:sqref>
            </x14:sparkline>
            <x14:sparkline>
              <xm:f>Calculations!AH174:BI174</xm:f>
              <xm:sqref>W17</xm:sqref>
            </x14:sparkline>
            <x14:sparkline>
              <xm:f>Calculations!AH175:BI175</xm:f>
              <xm:sqref>W18</xm:sqref>
            </x14:sparkline>
            <x14:sparkline>
              <xm:f>Calculations!AH176:BI176</xm:f>
              <xm:sqref>W19</xm:sqref>
            </x14:sparkline>
            <x14:sparkline>
              <xm:f>Calculations!AH177:BI177</xm:f>
              <xm:sqref>W20</xm:sqref>
            </x14:sparkline>
            <x14:sparkline>
              <xm:f>Calculations!AH178:BI178</xm:f>
              <xm:sqref>W21</xm:sqref>
            </x14:sparkline>
            <x14:sparkline>
              <xm:f>Calculations!AH179:BI179</xm:f>
              <xm:sqref>W22</xm:sqref>
            </x14:sparkline>
            <x14:sparkline>
              <xm:f>Calculations!AH180:BI180</xm:f>
              <xm:sqref>W23</xm:sqref>
            </x14:sparkline>
            <x14:sparkline>
              <xm:f>Calculations!AH181:BI181</xm:f>
              <xm:sqref>W24</xm:sqref>
            </x14:sparkline>
            <x14:sparkline>
              <xm:f>Calculations!AH182:BI182</xm:f>
              <xm:sqref>W25</xm:sqref>
            </x14:sparkline>
            <x14:sparkline>
              <xm:f>Calculations!AH183:BI183</xm:f>
              <xm:sqref>W26</xm:sqref>
            </x14:sparkline>
            <x14:sparkline>
              <xm:f>Calculations!AH184:BI184</xm:f>
              <xm:sqref>W27</xm:sqref>
            </x14:sparkline>
            <x14:sparkline>
              <xm:f>Calculations!AH185:BI185</xm:f>
              <xm:sqref>W28</xm:sqref>
            </x14:sparkline>
            <x14:sparkline>
              <xm:f>Calculations!AH186:BI186</xm:f>
              <xm:sqref>W29</xm:sqref>
            </x14:sparkline>
            <x14:sparkline>
              <xm:f>Calculations!AH187:BI187</xm:f>
              <xm:sqref>W30</xm:sqref>
            </x14:sparkline>
            <x14:sparkline>
              <xm:f>Calculations!AH188:BI188</xm:f>
              <xm:sqref>W31</xm:sqref>
            </x14:sparkline>
            <x14:sparkline>
              <xm:f>Calculations!AH189:BI189</xm:f>
              <xm:sqref>W32</xm:sqref>
            </x14:sparkline>
            <x14:sparkline>
              <xm:f>Calculations!AH190:BI190</xm:f>
              <xm:sqref>W33</xm:sqref>
            </x14:sparkline>
            <x14:sparkline>
              <xm:f>Calculations!AH191:BI191</xm:f>
              <xm:sqref>W34</xm:sqref>
            </x14:sparkline>
            <x14:sparkline>
              <xm:f>Calculations!AH192:BI192</xm:f>
              <xm:sqref>W35</xm:sqref>
            </x14:sparkline>
            <x14:sparkline>
              <xm:f>Calculations!AH193:BI193</xm:f>
              <xm:sqref>W36</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DATA</vt:lpstr>
      <vt:lpstr>Calculations</vt:lpstr>
      <vt:lpstr>Assets</vt:lpstr>
      <vt:lpstr>Dashboard</vt:lpstr>
      <vt:lpstr>amount.bar.limit</vt:lpstr>
      <vt:lpstr>amount.bar.limit2</vt:lpstr>
      <vt:lpstr>country.maps</vt:lpstr>
      <vt:lpstr>country.names</vt:lpstr>
      <vt:lpstr>graph.options</vt:lpstr>
      <vt:lpstr>profit.icon</vt:lpstr>
      <vt:lpstr>profit.icon.status</vt:lpstr>
      <vt:lpstr>profit.icon.statuses</vt:lpstr>
      <vt:lpstr>selected.team</vt:lpstr>
      <vt:lpstr>sort.options.country.list</vt:lpstr>
      <vt:lpstr>sort.options.for.people.table</vt:lpstr>
      <vt:lpstr>sort.options.products.table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ASUS</cp:lastModifiedBy>
  <dcterms:created xsi:type="dcterms:W3CDTF">2021-03-14T20:21:32Z</dcterms:created>
  <dcterms:modified xsi:type="dcterms:W3CDTF">2023-08-10T13:30:17Z</dcterms:modified>
</cp:coreProperties>
</file>