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nto\Repositories\SI2.git\CSSI_2019\forms\"/>
    </mc:Choice>
  </mc:AlternateContent>
  <xr:revisionPtr revIDLastSave="0" documentId="13_ncr:1_{800C6071-B1DF-4CC8-9082-9279B41F3F14}" xr6:coauthVersionLast="40" xr6:coauthVersionMax="40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_xlnm.Print_Area" localSheetId="0">Sheet1!$A$1:$E$80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1" l="1"/>
  <c r="C8" i="1"/>
  <c r="D8" i="1"/>
  <c r="E8" i="1"/>
  <c r="F8" i="1"/>
  <c r="B9" i="1"/>
  <c r="C9" i="1"/>
  <c r="D9" i="1"/>
  <c r="E9" i="1"/>
  <c r="F9" i="1"/>
  <c r="B11" i="1"/>
  <c r="C11" i="1"/>
  <c r="D11" i="1"/>
  <c r="E11" i="1"/>
  <c r="F11" i="1"/>
  <c r="F14" i="1"/>
  <c r="C21" i="1"/>
  <c r="D21" i="1"/>
  <c r="E21" i="1"/>
  <c r="F21" i="1"/>
  <c r="B26" i="1"/>
  <c r="C26" i="1"/>
  <c r="D26" i="1"/>
  <c r="E26" i="1"/>
  <c r="F26" i="1"/>
  <c r="B27" i="1"/>
  <c r="C27" i="1"/>
  <c r="D27" i="1"/>
  <c r="E27" i="1"/>
  <c r="F27" i="1"/>
  <c r="F28" i="1"/>
  <c r="F31" i="1"/>
  <c r="F32" i="1"/>
  <c r="F35" i="1"/>
  <c r="B24" i="1"/>
  <c r="B38" i="1"/>
  <c r="C24" i="1"/>
  <c r="C38" i="1"/>
  <c r="D24" i="1"/>
  <c r="D38" i="1"/>
  <c r="E38" i="1"/>
  <c r="F38" i="1"/>
  <c r="B25" i="1"/>
  <c r="B39" i="1"/>
  <c r="C25" i="1"/>
  <c r="C39" i="1"/>
  <c r="D25" i="1"/>
  <c r="D39" i="1"/>
  <c r="E39" i="1"/>
  <c r="F39" i="1"/>
  <c r="F40" i="1"/>
  <c r="F42" i="1"/>
  <c r="F47" i="1"/>
  <c r="E50" i="1"/>
  <c r="F50" i="1"/>
  <c r="E55" i="1"/>
  <c r="F55" i="1"/>
  <c r="F58" i="1"/>
  <c r="F74" i="1"/>
  <c r="F72" i="1"/>
  <c r="F76" i="1"/>
  <c r="F78" i="1"/>
  <c r="F80" i="1"/>
  <c r="B10" i="1"/>
  <c r="B14" i="1"/>
  <c r="B17" i="1"/>
  <c r="B18" i="1"/>
  <c r="B28" i="1"/>
  <c r="B31" i="1"/>
  <c r="B32" i="1"/>
  <c r="B33" i="1"/>
  <c r="B34" i="1"/>
  <c r="B35" i="1"/>
  <c r="B36" i="1"/>
  <c r="B37" i="1"/>
  <c r="B40" i="1"/>
  <c r="B47" i="1"/>
  <c r="B58" i="1"/>
  <c r="B72" i="1"/>
  <c r="B76" i="1"/>
  <c r="B74" i="1"/>
  <c r="B78" i="1"/>
  <c r="B80" i="1"/>
  <c r="C10" i="1"/>
  <c r="C12" i="1"/>
  <c r="C13" i="1"/>
  <c r="C14" i="1"/>
  <c r="C17" i="1"/>
  <c r="C18" i="1"/>
  <c r="C19" i="1"/>
  <c r="C20" i="1"/>
  <c r="C22" i="1"/>
  <c r="C23" i="1"/>
  <c r="C28" i="1"/>
  <c r="C31" i="1"/>
  <c r="C32" i="1"/>
  <c r="C33" i="1"/>
  <c r="C34" i="1"/>
  <c r="C35" i="1"/>
  <c r="C36" i="1"/>
  <c r="C37" i="1"/>
  <c r="C40" i="1"/>
  <c r="C47" i="1"/>
  <c r="C58" i="1"/>
  <c r="C69" i="1"/>
  <c r="C71" i="1"/>
  <c r="C72" i="1"/>
  <c r="C76" i="1"/>
  <c r="C74" i="1"/>
  <c r="C78" i="1"/>
  <c r="C80" i="1"/>
  <c r="D10" i="1"/>
  <c r="D12" i="1"/>
  <c r="D13" i="1"/>
  <c r="D14" i="1"/>
  <c r="D17" i="1"/>
  <c r="D18" i="1"/>
  <c r="D19" i="1"/>
  <c r="D20" i="1"/>
  <c r="D22" i="1"/>
  <c r="D23" i="1"/>
  <c r="D28" i="1"/>
  <c r="D31" i="1"/>
  <c r="D32" i="1"/>
  <c r="D33" i="1"/>
  <c r="D34" i="1"/>
  <c r="D35" i="1"/>
  <c r="D36" i="1"/>
  <c r="D37" i="1"/>
  <c r="D40" i="1"/>
  <c r="D47" i="1"/>
  <c r="D58" i="1"/>
  <c r="D69" i="1"/>
  <c r="D71" i="1"/>
  <c r="D72" i="1"/>
  <c r="D76" i="1"/>
  <c r="D74" i="1"/>
  <c r="D78" i="1"/>
  <c r="D80" i="1"/>
  <c r="E80" i="1"/>
  <c r="F82" i="1"/>
  <c r="E17" i="1"/>
  <c r="G17" i="1"/>
  <c r="G21" i="1"/>
  <c r="G28" i="1"/>
  <c r="G32" i="1"/>
  <c r="G35" i="1"/>
  <c r="G40" i="1"/>
  <c r="G42" i="1"/>
  <c r="G47" i="1"/>
  <c r="G74" i="1"/>
  <c r="E61" i="1"/>
  <c r="G61" i="1"/>
  <c r="G72" i="1"/>
  <c r="G76" i="1"/>
  <c r="G78" i="1"/>
  <c r="G80" i="1"/>
  <c r="G82" i="1"/>
  <c r="H82" i="1"/>
  <c r="H80" i="1"/>
  <c r="H78" i="1"/>
  <c r="H42" i="1"/>
  <c r="H40" i="1"/>
  <c r="H28" i="1"/>
  <c r="H74" i="1"/>
  <c r="E32" i="1"/>
  <c r="I32" i="1"/>
  <c r="E18" i="1"/>
  <c r="I18" i="1"/>
  <c r="E10" i="1"/>
  <c r="E35" i="1"/>
  <c r="E70" i="1"/>
  <c r="E68" i="1"/>
  <c r="E67" i="1"/>
  <c r="E66" i="1"/>
  <c r="E65" i="1"/>
  <c r="E64" i="1"/>
  <c r="E63" i="1"/>
  <c r="E62" i="1"/>
  <c r="E58" i="1"/>
  <c r="E57" i="1"/>
  <c r="E56" i="1"/>
  <c r="E54" i="1"/>
  <c r="E53" i="1"/>
  <c r="E52" i="1"/>
  <c r="E51" i="1"/>
  <c r="E46" i="1"/>
  <c r="E45" i="1"/>
  <c r="E13" i="1"/>
  <c r="E12" i="1"/>
  <c r="E47" i="1"/>
  <c r="E19" i="1"/>
  <c r="E71" i="1"/>
  <c r="E20" i="1"/>
  <c r="E69" i="1"/>
  <c r="E33" i="1"/>
  <c r="E34" i="1"/>
  <c r="E72" i="1"/>
  <c r="E37" i="1"/>
  <c r="E23" i="1"/>
  <c r="E36" i="1"/>
  <c r="E22" i="1"/>
  <c r="B42" i="1"/>
  <c r="E14" i="1"/>
  <c r="D42" i="1"/>
  <c r="E28" i="1"/>
  <c r="E25" i="1"/>
  <c r="E31" i="1"/>
  <c r="E24" i="1"/>
  <c r="C42" i="1"/>
  <c r="E76" i="1"/>
  <c r="E40" i="1"/>
  <c r="E42" i="1"/>
  <c r="E74" i="1"/>
  <c r="E78" i="1"/>
</calcChain>
</file>

<file path=xl/sharedStrings.xml><?xml version="1.0" encoding="utf-8"?>
<sst xmlns="http://schemas.openxmlformats.org/spreadsheetml/2006/main" count="105" uniqueCount="101">
  <si>
    <t>On-Campus, Instruction 42%</t>
    <phoneticPr fontId="0" type="noConversion"/>
  </si>
  <si>
    <t>Other Sponsored Projects 26%</t>
    <phoneticPr fontId="0" type="noConversion"/>
  </si>
  <si>
    <t>Agency Approving F&amp;A Rate:  DHHS</t>
    <phoneticPr fontId="0" type="noConversion"/>
  </si>
  <si>
    <t>Phone Number:  415-437-7820</t>
    <phoneticPr fontId="0" type="noConversion"/>
  </si>
  <si>
    <t>Indirect Costs  (Use Chart Below)</t>
    <phoneticPr fontId="0" type="noConversion"/>
  </si>
  <si>
    <t>*Modified Total Direct Costs are direct costs minus such items as tuition, permanent equipment costing over $5000</t>
  </si>
  <si>
    <t>Yearly escalation factor of 3% for salaries</t>
    <phoneticPr fontId="0" type="noConversion"/>
  </si>
  <si>
    <t xml:space="preserve"> -- Stipends</t>
  </si>
  <si>
    <t xml:space="preserve"> -- Travel</t>
  </si>
  <si>
    <t xml:space="preserve"> -- Subsistence</t>
  </si>
  <si>
    <t xml:space="preserve"> -- Other</t>
  </si>
  <si>
    <t>Participant Support Costs:</t>
  </si>
  <si>
    <t>TOTAL, Salary &amp; Fringe</t>
  </si>
  <si>
    <t>Students Unenrolled (2%)</t>
  </si>
  <si>
    <t>Students Enrolled (1%)</t>
  </si>
  <si>
    <t>up to $25k of subcontract is subject to University F&amp;A</t>
  </si>
  <si>
    <t xml:space="preserve">F&amp;A Rates </t>
    <phoneticPr fontId="0" type="noConversion"/>
  </si>
  <si>
    <t>Off-campus 26%</t>
    <phoneticPr fontId="0" type="noConversion"/>
  </si>
  <si>
    <t>Professional Staff and Faculty, part-time &lt;.50 FTE (not PRA) (8%)</t>
    <phoneticPr fontId="0" type="noConversion"/>
  </si>
  <si>
    <t>Other Personnel</t>
  </si>
  <si>
    <t>Classified Staff</t>
  </si>
  <si>
    <t>Fringe Benefits</t>
  </si>
  <si>
    <t>Travel</t>
  </si>
  <si>
    <t>Domestic</t>
  </si>
  <si>
    <t>Foreign</t>
  </si>
  <si>
    <t>Materials and Supplies</t>
  </si>
  <si>
    <t>Consultants</t>
  </si>
  <si>
    <t>Subcontract</t>
  </si>
  <si>
    <t>Computer Software</t>
  </si>
  <si>
    <t>Rental Equipment Fees</t>
  </si>
  <si>
    <t>Other</t>
  </si>
  <si>
    <t>Other Direct Costs (included in MTDC)</t>
  </si>
  <si>
    <t>Other Direct Costs (not included in MTDC)</t>
  </si>
  <si>
    <t>Capital Expenditures</t>
  </si>
  <si>
    <t>Rental Costs</t>
  </si>
  <si>
    <t>Stipends</t>
  </si>
  <si>
    <t>Year 1</t>
  </si>
  <si>
    <t>Year 2</t>
  </si>
  <si>
    <t>TOTAL</t>
  </si>
  <si>
    <t>TOTAL, Other Direct Costs (not in MTDC)</t>
  </si>
  <si>
    <t>TOTAL, Other Direct Costs (in MTDC)</t>
  </si>
  <si>
    <t>TOTAL, Travel Costs</t>
  </si>
  <si>
    <t>TOTAL, Fringe Benefits</t>
  </si>
  <si>
    <t>TOTAL, Salaries of Other Personnel</t>
  </si>
  <si>
    <t>TOTAL, Senior Personnel Salaries</t>
  </si>
  <si>
    <t>Total Direct Costs</t>
  </si>
  <si>
    <t>TOTAL PROJECT COSTS</t>
  </si>
  <si>
    <t>Publication/Page Charges/Dissemination</t>
  </si>
  <si>
    <t>Modified Total Direct Costs (MTDC)*</t>
  </si>
  <si>
    <t>Professional Staff  (28%) - appointment greater than 50%</t>
  </si>
  <si>
    <t>Classified Staff (39%)</t>
  </si>
  <si>
    <t>Professional Staff, part-time &lt; .50 FTE (PRA ONLY) (9%)</t>
  </si>
  <si>
    <t>Hourly Employees and Classified Temporary (Non-Students) (18%)</t>
  </si>
  <si>
    <t>Hourly Employees and Classified Temporary</t>
  </si>
  <si>
    <t>PRA, less than 50% time</t>
  </si>
  <si>
    <t>Part-time faculty, less than 50% time</t>
  </si>
  <si>
    <t>Senior Personnel - Downtown Campus</t>
  </si>
  <si>
    <t>Subcontract over $25,000</t>
  </si>
  <si>
    <t>Post Doctoral Fellow - 19%</t>
  </si>
  <si>
    <t>Year 3</t>
  </si>
  <si>
    <t>07/01/2016 - 06/30/2020        55.5%</t>
  </si>
  <si>
    <t>Date Approved:  03/08/2016</t>
  </si>
  <si>
    <t>Contact: Jeanette Lu</t>
  </si>
  <si>
    <t>Tuition - 5% increase as per Colorado Governor's report on tuition hikes 01/2015 - NOTE: PLEASE PUT FEES ON LINE 70 AS THEY INCREASE AT A DIFFERENT RATE</t>
  </si>
  <si>
    <t>Student Fees - 3% increase</t>
  </si>
  <si>
    <t>Principal Investigator(s): Martin E. Huber, Amy L. Roberts, Anthony N. Villano</t>
  </si>
  <si>
    <t>Department:  Physics</t>
  </si>
  <si>
    <t>Project Period:  07/01/2018-06/30/2021</t>
  </si>
  <si>
    <t>CY Contract (12 mo.)</t>
  </si>
  <si>
    <t>AY Contract (9 mo.)</t>
  </si>
  <si>
    <t># Students</t>
  </si>
  <si>
    <t>Hours/week</t>
  </si>
  <si>
    <t>Weeks</t>
  </si>
  <si>
    <t>Wage</t>
  </si>
  <si>
    <t>Co-P.I. (Villano) - Summer - 2 mo.</t>
  </si>
  <si>
    <t>Graduate Assistant(s) (Enrolled) (SA-VI, $18.00) (m students, n hours/week, r weeks, w $/hour)</t>
  </si>
  <si>
    <t>Graduate Assistant(s) (Unenrolled - summer)  (SA-VI, $18.00) (m students, n hours/week, r weeks, w $/hour)</t>
  </si>
  <si>
    <t>Undergraduate Assistant(s) (Enrolled) (SA-III, $12.50) (m students, n hours/week, r weeks, w $/hour)</t>
  </si>
  <si>
    <t>Undergraduate Assistant(s) (Unenrolled - summer) (SA-III, $12.50) (m students, n hours/week, r weeks, w $/hour)</t>
  </si>
  <si>
    <t>(in Y2 wages, not escalated first year)</t>
  </si>
  <si>
    <t>Faculty (27%) -  appointment greater than 50%</t>
  </si>
  <si>
    <t>Full Time Professional Staff (Full Time PRA  (Bruce Hines))</t>
  </si>
  <si>
    <t>Full Time Professional Staff (Full Time PRA  (New Hire [for Amy Roberts]))</t>
  </si>
  <si>
    <t>Post-Doctoral Fellow - (New Hire [for Anthony Villano]), 0.5 FTE</t>
  </si>
  <si>
    <t>Project Title:  Collaborative Research: The SuperCDMS SNOLAB Experiment</t>
  </si>
  <si>
    <t>Co-P.I. (Roberts) - Summer - 1 mo.</t>
  </si>
  <si>
    <t>Co-P.I. (Roberts) - Acad Yr</t>
  </si>
  <si>
    <t>Co-P.I. (Villano) - Acad Yr</t>
  </si>
  <si>
    <t>35% Y1, 30% Y2 + Y3</t>
  </si>
  <si>
    <t>(AY2017-2018)</t>
  </si>
  <si>
    <t>$11k Huber (mostly Lhe, also computer replacemnents &amp; magnetometer)</t>
  </si>
  <si>
    <t>Permanent Equipment (over $5,000) Anthony: for neutron measurements: PMT bases for 24-detector NaI array ($15,480); and CAEN digitizer ($9,999)</t>
  </si>
  <si>
    <t>16.667% (2 months) Y1, Y2, Y3</t>
  </si>
  <si>
    <t>BASE</t>
  </si>
  <si>
    <t>OPS</t>
  </si>
  <si>
    <t>Not distinguishing foreign vs domestic in sum</t>
  </si>
  <si>
    <t>Amy sum check (should = zero):</t>
  </si>
  <si>
    <t>PRA Benefits sum check (should = zero):</t>
  </si>
  <si>
    <t>Anthonhy please verify this is the right split, 50/50</t>
  </si>
  <si>
    <t>P.I. (Roberts) - Acad Yr - 10% (course release)</t>
  </si>
  <si>
    <t>P.I. (Huber) - Summer - 1 mo. (second mo. requires NSF waiver/approval)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</si>
</sst>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&quot;$&quot;#,##0.00;[Red]\-&quot;$&quot;#,##0.00"/>
    <numFmt numFmtId="165" formatCode="&quot;$&quot;#,##0.00"/>
    <numFmt numFmtId="166" formatCode="&quot;$&quot;#,##0"/>
    <numFmt numFmtId="167" formatCode="&quot;$&quot;#,##0.0"/>
  </numFmts>
  <fonts count="10" x14ac:knownFonts="1">
    <font>
      <sz val="10"/>
      <name val="Arial"/>
    </font>
    <font>
      <sz val="12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165" fontId="3" fillId="0" borderId="0" xfId="0" applyNumberFormat="1" applyFont="1"/>
    <xf numFmtId="0" fontId="6" fillId="0" borderId="0" xfId="0" applyFont="1"/>
    <xf numFmtId="166" fontId="3" fillId="0" borderId="0" xfId="0" applyNumberFormat="1" applyFont="1"/>
    <xf numFmtId="166" fontId="6" fillId="0" borderId="0" xfId="0" applyNumberFormat="1" applyFont="1"/>
    <xf numFmtId="0" fontId="7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3" borderId="0" xfId="0" applyFill="1"/>
    <xf numFmtId="166" fontId="3" fillId="4" borderId="0" xfId="0" applyNumberFormat="1" applyFont="1" applyFill="1"/>
    <xf numFmtId="166" fontId="6" fillId="4" borderId="0" xfId="0" applyNumberFormat="1" applyFont="1" applyFill="1"/>
    <xf numFmtId="0" fontId="3" fillId="5" borderId="0" xfId="0" applyFont="1" applyFill="1" applyAlignment="1">
      <alignment wrapText="1"/>
    </xf>
    <xf numFmtId="166" fontId="3" fillId="5" borderId="0" xfId="0" applyNumberFormat="1" applyFont="1" applyFill="1"/>
    <xf numFmtId="0" fontId="3" fillId="5" borderId="0" xfId="0" applyFont="1" applyFill="1"/>
    <xf numFmtId="164" fontId="0" fillId="3" borderId="0" xfId="0" applyNumberFormat="1" applyFill="1"/>
    <xf numFmtId="0" fontId="0" fillId="0" borderId="0" xfId="0" applyAlignment="1">
      <alignment wrapText="1"/>
    </xf>
    <xf numFmtId="8" fontId="8" fillId="0" borderId="0" xfId="0" applyNumberFormat="1" applyFont="1"/>
    <xf numFmtId="165" fontId="0" fillId="0" borderId="0" xfId="0" applyNumberFormat="1"/>
    <xf numFmtId="166" fontId="0" fillId="0" borderId="0" xfId="0" applyNumberFormat="1"/>
    <xf numFmtId="8" fontId="0" fillId="0" borderId="0" xfId="0" applyNumberFormat="1"/>
    <xf numFmtId="166" fontId="2" fillId="0" borderId="0" xfId="0" applyNumberFormat="1" applyFont="1"/>
    <xf numFmtId="0" fontId="9" fillId="6" borderId="0" xfId="0" applyFont="1" applyFill="1"/>
    <xf numFmtId="165" fontId="2" fillId="0" borderId="0" xfId="0" applyNumberFormat="1" applyFont="1"/>
    <xf numFmtId="8" fontId="2" fillId="0" borderId="0" xfId="0" applyNumberFormat="1" applyFont="1"/>
    <xf numFmtId="167" fontId="9" fillId="6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abSelected="1" zoomScale="125" zoomScaleNormal="125" zoomScalePageLayoutView="125" workbookViewId="0">
      <selection activeCell="A10" sqref="A10"/>
    </sheetView>
  </sheetViews>
  <sheetFormatPr defaultColWidth="8.796875" defaultRowHeight="12.75" x14ac:dyDescent="0.35"/>
  <cols>
    <col min="1" max="1" width="69.796875" customWidth="1"/>
    <col min="2" max="5" width="11.6640625" customWidth="1"/>
    <col min="6" max="7" width="10.46484375" bestFit="1" customWidth="1"/>
    <col min="8" max="8" width="38.1328125" bestFit="1" customWidth="1"/>
    <col min="10" max="10" width="9.6640625" bestFit="1" customWidth="1"/>
    <col min="11" max="11" width="17.1328125" bestFit="1" customWidth="1"/>
    <col min="12" max="12" width="17" bestFit="1" customWidth="1"/>
  </cols>
  <sheetData>
    <row r="1" spans="1:11" ht="13.9" x14ac:dyDescent="0.4">
      <c r="A1" s="4" t="s">
        <v>65</v>
      </c>
      <c r="B1" s="3"/>
      <c r="C1" s="3"/>
      <c r="D1" s="3"/>
      <c r="E1" s="3"/>
      <c r="F1" t="s">
        <v>93</v>
      </c>
      <c r="G1" t="s">
        <v>94</v>
      </c>
    </row>
    <row r="2" spans="1:11" ht="13.9" x14ac:dyDescent="0.4">
      <c r="A2" s="4" t="s">
        <v>66</v>
      </c>
      <c r="B2" s="3"/>
      <c r="C2" s="3"/>
      <c r="D2" s="3"/>
      <c r="E2" s="3"/>
    </row>
    <row r="3" spans="1:11" ht="13.9" x14ac:dyDescent="0.4">
      <c r="A3" s="4" t="s">
        <v>67</v>
      </c>
      <c r="B3" s="3"/>
      <c r="C3" s="3"/>
      <c r="D3" s="3"/>
      <c r="E3" s="3"/>
    </row>
    <row r="4" spans="1:11" ht="13.9" x14ac:dyDescent="0.4">
      <c r="A4" s="4" t="s">
        <v>84</v>
      </c>
      <c r="B4" s="3"/>
      <c r="C4" s="3"/>
      <c r="D4" s="3"/>
      <c r="E4" s="3"/>
    </row>
    <row r="5" spans="1:11" ht="13.5" x14ac:dyDescent="0.35">
      <c r="A5" s="3"/>
      <c r="B5" s="3"/>
      <c r="C5" s="3"/>
      <c r="D5" s="3"/>
      <c r="E5" s="3"/>
    </row>
    <row r="6" spans="1:11" ht="13.9" x14ac:dyDescent="0.4">
      <c r="A6" s="3"/>
      <c r="B6" s="5" t="s">
        <v>36</v>
      </c>
      <c r="C6" s="5" t="s">
        <v>37</v>
      </c>
      <c r="D6" s="5" t="s">
        <v>59</v>
      </c>
      <c r="E6" s="5" t="s">
        <v>38</v>
      </c>
      <c r="K6" s="16" t="s">
        <v>69</v>
      </c>
    </row>
    <row r="7" spans="1:11" ht="13.9" x14ac:dyDescent="0.4">
      <c r="A7" s="6" t="s">
        <v>56</v>
      </c>
      <c r="B7" s="7"/>
      <c r="C7" s="7"/>
      <c r="D7" s="7"/>
      <c r="E7" s="7"/>
      <c r="K7" t="s">
        <v>89</v>
      </c>
    </row>
    <row r="8" spans="1:11" ht="13.5" x14ac:dyDescent="0.35">
      <c r="A8" s="20" t="s">
        <v>99</v>
      </c>
      <c r="B8" s="21">
        <f>K8*1.03*10%</f>
        <v>11678.964</v>
      </c>
      <c r="C8" s="21">
        <f t="shared" ref="C8:D13" si="0">B8*1.03</f>
        <v>12029.332920000001</v>
      </c>
      <c r="D8" s="21">
        <f t="shared" si="0"/>
        <v>12390.212907600002</v>
      </c>
      <c r="E8" s="18">
        <f t="shared" ref="E8:E14" si="1">SUM(B8:D8)</f>
        <v>36098.509827600006</v>
      </c>
      <c r="F8" s="27">
        <f>E8</f>
        <v>36098.509827600006</v>
      </c>
      <c r="K8" s="17">
        <v>113388</v>
      </c>
    </row>
    <row r="9" spans="1:11" ht="13.5" x14ac:dyDescent="0.35">
      <c r="A9" s="3" t="s">
        <v>100</v>
      </c>
      <c r="B9" s="9">
        <f>K8*2/9</f>
        <v>25197.333333333332</v>
      </c>
      <c r="C9" s="9">
        <f t="shared" si="0"/>
        <v>25953.253333333334</v>
      </c>
      <c r="D9" s="9">
        <f t="shared" si="0"/>
        <v>26731.850933333335</v>
      </c>
      <c r="E9" s="18">
        <f t="shared" si="1"/>
        <v>77882.437600000005</v>
      </c>
      <c r="F9" s="27">
        <f>E9</f>
        <v>77882.437600000005</v>
      </c>
    </row>
    <row r="10" spans="1:11" ht="13.5" x14ac:dyDescent="0.35">
      <c r="A10" s="22" t="s">
        <v>86</v>
      </c>
      <c r="B10" s="21">
        <f>K10*0</f>
        <v>0</v>
      </c>
      <c r="C10" s="21">
        <f t="shared" si="0"/>
        <v>0</v>
      </c>
      <c r="D10" s="21">
        <f t="shared" si="0"/>
        <v>0</v>
      </c>
      <c r="E10" s="18">
        <f t="shared" si="1"/>
        <v>0</v>
      </c>
      <c r="K10" s="17">
        <v>67000</v>
      </c>
    </row>
    <row r="11" spans="1:11" ht="13.5" x14ac:dyDescent="0.35">
      <c r="A11" s="3" t="s">
        <v>85</v>
      </c>
      <c r="B11" s="9">
        <f>K10*(1/9)</f>
        <v>7444.4444444444443</v>
      </c>
      <c r="C11" s="9">
        <f t="shared" si="0"/>
        <v>7667.7777777777783</v>
      </c>
      <c r="D11" s="9">
        <f t="shared" si="0"/>
        <v>7897.811111111112</v>
      </c>
      <c r="E11" s="18">
        <f t="shared" si="1"/>
        <v>23010.033333333333</v>
      </c>
      <c r="F11" s="27">
        <f>E11</f>
        <v>23010.033333333333</v>
      </c>
    </row>
    <row r="12" spans="1:11" ht="13.5" x14ac:dyDescent="0.35">
      <c r="A12" s="22" t="s">
        <v>87</v>
      </c>
      <c r="B12" s="21">
        <v>0</v>
      </c>
      <c r="C12" s="21">
        <f>K12*0%*1.03</f>
        <v>0</v>
      </c>
      <c r="D12" s="21">
        <f t="shared" si="0"/>
        <v>0</v>
      </c>
      <c r="E12" s="18">
        <f t="shared" si="1"/>
        <v>0</v>
      </c>
      <c r="K12" s="17">
        <v>67000</v>
      </c>
    </row>
    <row r="13" spans="1:11" ht="13.5" x14ac:dyDescent="0.35">
      <c r="A13" s="3" t="s">
        <v>74</v>
      </c>
      <c r="B13" s="9">
        <v>0</v>
      </c>
      <c r="C13" s="9">
        <f>K12*(2/9)*1.03</f>
        <v>15335.555555555557</v>
      </c>
      <c r="D13" s="9">
        <f t="shared" si="0"/>
        <v>15795.622222222224</v>
      </c>
      <c r="E13" s="18">
        <f t="shared" si="1"/>
        <v>31131.177777777782</v>
      </c>
      <c r="F13" s="27">
        <v>31131</v>
      </c>
    </row>
    <row r="14" spans="1:11" ht="13.9" x14ac:dyDescent="0.4">
      <c r="A14" s="8" t="s">
        <v>44</v>
      </c>
      <c r="B14" s="19">
        <f>SUM(B8:B13)</f>
        <v>44320.741777777781</v>
      </c>
      <c r="C14" s="19">
        <f>SUM(C8:C13)</f>
        <v>60985.919586666671</v>
      </c>
      <c r="D14" s="19">
        <f>SUM(D8:D13)</f>
        <v>62815.497174266668</v>
      </c>
      <c r="E14" s="18">
        <f t="shared" si="1"/>
        <v>168122.15853871111</v>
      </c>
      <c r="F14" s="27">
        <f>SUM(F8:F13)</f>
        <v>168121.98076093334</v>
      </c>
    </row>
    <row r="15" spans="1:11" ht="13.5" x14ac:dyDescent="0.35">
      <c r="A15" s="3"/>
      <c r="B15" s="9"/>
      <c r="C15" s="9"/>
      <c r="D15" s="9"/>
      <c r="E15" s="9"/>
    </row>
    <row r="16" spans="1:11" ht="13.9" x14ac:dyDescent="0.4">
      <c r="A16" s="6" t="s">
        <v>19</v>
      </c>
      <c r="B16" s="9"/>
      <c r="C16" s="9"/>
      <c r="D16" s="9"/>
      <c r="E16" s="9"/>
      <c r="K16" t="s">
        <v>68</v>
      </c>
    </row>
    <row r="17" spans="1:14" ht="13.5" x14ac:dyDescent="0.35">
      <c r="A17" s="15" t="s">
        <v>81</v>
      </c>
      <c r="B17" s="9">
        <f>K17*0.35</f>
        <v>20156.849999999999</v>
      </c>
      <c r="C17" s="9">
        <f>K17*103%*0.3</f>
        <v>17795.618999999999</v>
      </c>
      <c r="D17" s="9">
        <f>K17*103%*103%*0.3</f>
        <v>18329.487570000001</v>
      </c>
      <c r="E17" s="18">
        <f t="shared" ref="E17:E28" si="2">SUM(B17:D17)</f>
        <v>56281.956569999995</v>
      </c>
      <c r="G17" s="27">
        <f>E17</f>
        <v>56281.956569999995</v>
      </c>
      <c r="K17" s="17">
        <v>57591</v>
      </c>
      <c r="L17" t="s">
        <v>88</v>
      </c>
    </row>
    <row r="18" spans="1:14" ht="13.5" x14ac:dyDescent="0.35">
      <c r="A18" s="15" t="s">
        <v>82</v>
      </c>
      <c r="B18" s="9">
        <f>K18*2/12</f>
        <v>5833.333333333333</v>
      </c>
      <c r="C18" s="9">
        <f t="shared" ref="C18:D19" si="3">(B18*3%)+B18</f>
        <v>6008.333333333333</v>
      </c>
      <c r="D18" s="9">
        <f t="shared" si="3"/>
        <v>6188.583333333333</v>
      </c>
      <c r="E18" s="18">
        <f t="shared" si="2"/>
        <v>18030.25</v>
      </c>
      <c r="G18">
        <v>18030</v>
      </c>
      <c r="H18" s="30" t="s">
        <v>96</v>
      </c>
      <c r="I18" s="27">
        <f>F18+G18-E18</f>
        <v>-0.25</v>
      </c>
      <c r="K18" s="17">
        <v>35000</v>
      </c>
      <c r="L18" t="s">
        <v>92</v>
      </c>
    </row>
    <row r="19" spans="1:14" ht="13.5" x14ac:dyDescent="0.35">
      <c r="A19" s="15" t="s">
        <v>54</v>
      </c>
      <c r="B19" s="9">
        <v>0</v>
      </c>
      <c r="C19" s="9">
        <f t="shared" si="3"/>
        <v>0</v>
      </c>
      <c r="D19" s="9">
        <f t="shared" si="3"/>
        <v>0</v>
      </c>
      <c r="E19" s="18">
        <f t="shared" si="2"/>
        <v>0</v>
      </c>
    </row>
    <row r="20" spans="1:14" ht="13.5" x14ac:dyDescent="0.35">
      <c r="A20" s="15" t="s">
        <v>55</v>
      </c>
      <c r="B20" s="9">
        <v>0</v>
      </c>
      <c r="C20" s="9">
        <f>(B20*3%)+B20</f>
        <v>0</v>
      </c>
      <c r="D20" s="9">
        <f t="shared" ref="D20" si="4">(C20*3%)+C20</f>
        <v>0</v>
      </c>
      <c r="E20" s="18">
        <f t="shared" si="2"/>
        <v>0</v>
      </c>
    </row>
    <row r="21" spans="1:14" ht="25.5" x14ac:dyDescent="0.35">
      <c r="A21" s="15" t="s">
        <v>83</v>
      </c>
      <c r="B21" s="9">
        <v>0</v>
      </c>
      <c r="C21" s="9">
        <f>K21*0.5</f>
        <v>23742</v>
      </c>
      <c r="D21" s="9">
        <f>47844*0.5</f>
        <v>23922</v>
      </c>
      <c r="E21" s="18">
        <f t="shared" si="2"/>
        <v>47664</v>
      </c>
      <c r="F21" s="33">
        <f>E21*0.5</f>
        <v>23832</v>
      </c>
      <c r="G21" s="33">
        <f>E21*0.5</f>
        <v>23832</v>
      </c>
      <c r="H21" s="17" t="s">
        <v>98</v>
      </c>
      <c r="K21" s="17">
        <v>47484</v>
      </c>
      <c r="L21" s="24" t="s">
        <v>79</v>
      </c>
    </row>
    <row r="22" spans="1:14" ht="13.5" x14ac:dyDescent="0.35">
      <c r="A22" s="3" t="s">
        <v>20</v>
      </c>
      <c r="B22" s="9">
        <v>0</v>
      </c>
      <c r="C22" s="9">
        <f t="shared" ref="C22:D27" si="5">(B22*3%)+B22</f>
        <v>0</v>
      </c>
      <c r="D22" s="9">
        <f>(C22*3%)+C22</f>
        <v>0</v>
      </c>
      <c r="E22" s="18">
        <f t="shared" si="2"/>
        <v>0</v>
      </c>
    </row>
    <row r="23" spans="1:14" ht="13.5" x14ac:dyDescent="0.35">
      <c r="A23" s="3" t="s">
        <v>53</v>
      </c>
      <c r="B23" s="9">
        <v>0</v>
      </c>
      <c r="C23" s="9">
        <f t="shared" si="5"/>
        <v>0</v>
      </c>
      <c r="D23" s="9">
        <f t="shared" si="5"/>
        <v>0</v>
      </c>
      <c r="E23" s="18">
        <f t="shared" si="2"/>
        <v>0</v>
      </c>
      <c r="K23" t="s">
        <v>70</v>
      </c>
      <c r="L23" t="s">
        <v>71</v>
      </c>
      <c r="M23" t="s">
        <v>72</v>
      </c>
      <c r="N23" t="s">
        <v>73</v>
      </c>
    </row>
    <row r="24" spans="1:14" ht="13.5" x14ac:dyDescent="0.35">
      <c r="A24" s="3" t="s">
        <v>75</v>
      </c>
      <c r="B24" s="9">
        <f>K24*L24*M24*N24</f>
        <v>0</v>
      </c>
      <c r="C24" s="9">
        <f t="shared" si="5"/>
        <v>0</v>
      </c>
      <c r="D24" s="9">
        <f t="shared" si="5"/>
        <v>0</v>
      </c>
      <c r="E24" s="18">
        <f t="shared" si="2"/>
        <v>0</v>
      </c>
      <c r="K24" s="17">
        <v>0</v>
      </c>
      <c r="L24" s="17">
        <v>10</v>
      </c>
      <c r="M24" s="17">
        <v>32</v>
      </c>
      <c r="N24" s="23">
        <v>18</v>
      </c>
    </row>
    <row r="25" spans="1:14" ht="13.5" x14ac:dyDescent="0.35">
      <c r="A25" s="3" t="s">
        <v>76</v>
      </c>
      <c r="B25" s="9">
        <f>K25*L25*M25*N25</f>
        <v>0</v>
      </c>
      <c r="C25" s="9">
        <f t="shared" si="5"/>
        <v>0</v>
      </c>
      <c r="D25" s="9">
        <f t="shared" si="5"/>
        <v>0</v>
      </c>
      <c r="E25" s="18">
        <f t="shared" si="2"/>
        <v>0</v>
      </c>
      <c r="K25" s="17">
        <v>0</v>
      </c>
      <c r="L25" s="17">
        <v>20</v>
      </c>
      <c r="M25" s="17">
        <v>12</v>
      </c>
      <c r="N25" s="23">
        <v>18</v>
      </c>
    </row>
    <row r="26" spans="1:14" ht="13.5" x14ac:dyDescent="0.35">
      <c r="A26" s="3" t="s">
        <v>77</v>
      </c>
      <c r="B26" s="9">
        <f>K26*L26*M26*N26</f>
        <v>12000</v>
      </c>
      <c r="C26" s="9">
        <f t="shared" si="5"/>
        <v>12360</v>
      </c>
      <c r="D26" s="9">
        <f t="shared" si="5"/>
        <v>12730.8</v>
      </c>
      <c r="E26" s="18">
        <f t="shared" si="2"/>
        <v>37090.800000000003</v>
      </c>
      <c r="F26" s="27">
        <f>E26</f>
        <v>37090.800000000003</v>
      </c>
      <c r="K26" s="17">
        <v>2</v>
      </c>
      <c r="L26" s="17">
        <v>15</v>
      </c>
      <c r="M26" s="17">
        <v>32</v>
      </c>
      <c r="N26" s="23">
        <v>12.5</v>
      </c>
    </row>
    <row r="27" spans="1:14" ht="13.5" x14ac:dyDescent="0.35">
      <c r="A27" s="3" t="s">
        <v>78</v>
      </c>
      <c r="B27" s="9">
        <f>K27*L27*M27*N27</f>
        <v>9000</v>
      </c>
      <c r="C27" s="9">
        <f t="shared" si="5"/>
        <v>9270</v>
      </c>
      <c r="D27" s="9">
        <f t="shared" si="5"/>
        <v>9548.1</v>
      </c>
      <c r="E27" s="18">
        <f t="shared" si="2"/>
        <v>27818.1</v>
      </c>
      <c r="F27" s="27">
        <f>E27</f>
        <v>27818.1</v>
      </c>
      <c r="K27" s="17">
        <v>2</v>
      </c>
      <c r="L27" s="17">
        <v>30</v>
      </c>
      <c r="M27" s="17">
        <v>12</v>
      </c>
      <c r="N27" s="23">
        <v>12.5</v>
      </c>
    </row>
    <row r="28" spans="1:14" s="2" customFormat="1" ht="13.9" x14ac:dyDescent="0.4">
      <c r="A28" s="8" t="s">
        <v>43</v>
      </c>
      <c r="B28" s="19">
        <f>SUM(B17:B27)</f>
        <v>46990.183333333334</v>
      </c>
      <c r="C28" s="19">
        <f>SUM(C17:C27)</f>
        <v>69175.952333333335</v>
      </c>
      <c r="D28" s="19">
        <f>SUM(D17:D27)</f>
        <v>70718.970903333335</v>
      </c>
      <c r="E28" s="18">
        <f t="shared" si="2"/>
        <v>186885.10657</v>
      </c>
      <c r="F28" s="2">
        <f>SUM(F17:F27)</f>
        <v>88740.9</v>
      </c>
      <c r="G28" s="29">
        <f>SUM(G17:G27)</f>
        <v>98143.956569999995</v>
      </c>
      <c r="H28" s="2">
        <f>SUM(F28:G28)</f>
        <v>186884.85657</v>
      </c>
    </row>
    <row r="29" spans="1:14" ht="13.5" x14ac:dyDescent="0.35">
      <c r="A29" s="3"/>
      <c r="B29" s="9"/>
      <c r="C29" s="9"/>
      <c r="D29" s="9"/>
      <c r="E29" s="9"/>
    </row>
    <row r="30" spans="1:14" ht="13.9" x14ac:dyDescent="0.4">
      <c r="A30" s="6" t="s">
        <v>21</v>
      </c>
      <c r="B30" s="9"/>
      <c r="C30" s="9"/>
      <c r="D30" s="9"/>
      <c r="E30" s="9"/>
    </row>
    <row r="31" spans="1:14" ht="13.5" x14ac:dyDescent="0.35">
      <c r="A31" s="3" t="s">
        <v>80</v>
      </c>
      <c r="B31" s="18">
        <f>B14*27%</f>
        <v>11966.600280000002</v>
      </c>
      <c r="C31" s="18">
        <f>C14*27%</f>
        <v>16466.198288400003</v>
      </c>
      <c r="D31" s="18">
        <f>D14*27%</f>
        <v>16960.184237052003</v>
      </c>
      <c r="E31" s="18">
        <f t="shared" ref="E31:E40" si="6">SUM(B31:D31)</f>
        <v>45392.982805452004</v>
      </c>
      <c r="F31" s="26">
        <f>F14*0.27</f>
        <v>45392.934805452001</v>
      </c>
    </row>
    <row r="32" spans="1:14" ht="13.5" x14ac:dyDescent="0.35">
      <c r="A32" s="3" t="s">
        <v>49</v>
      </c>
      <c r="B32" s="18">
        <f>SUM(B17+B18)*28%</f>
        <v>7277.2513333333336</v>
      </c>
      <c r="C32" s="18">
        <f>SUM(C17+C18)*28%</f>
        <v>6665.1066533333333</v>
      </c>
      <c r="D32" s="18">
        <f>SUM(D17+D18)*28%</f>
        <v>6865.0598529333338</v>
      </c>
      <c r="E32" s="18">
        <f t="shared" si="6"/>
        <v>20807.417839599999</v>
      </c>
      <c r="F32">
        <f>(F17+F18)*0.028</f>
        <v>0</v>
      </c>
      <c r="G32">
        <f>(G17+G18)*0.28</f>
        <v>20807.347839599999</v>
      </c>
      <c r="H32" s="30" t="s">
        <v>97</v>
      </c>
      <c r="I32" s="27">
        <f>F32+G32-E32</f>
        <v>-6.9999999999708962E-2</v>
      </c>
      <c r="J32" s="26"/>
      <c r="L32" s="26"/>
      <c r="M32" s="26"/>
      <c r="N32" s="26"/>
    </row>
    <row r="33" spans="1:10" ht="13.5" x14ac:dyDescent="0.35">
      <c r="A33" s="3" t="s">
        <v>51</v>
      </c>
      <c r="B33" s="18">
        <f>B19*0.09</f>
        <v>0</v>
      </c>
      <c r="C33" s="18">
        <f>C19*0.09</f>
        <v>0</v>
      </c>
      <c r="D33" s="18">
        <f>D19*0.09</f>
        <v>0</v>
      </c>
      <c r="E33" s="18">
        <f t="shared" si="6"/>
        <v>0</v>
      </c>
      <c r="J33" s="26"/>
    </row>
    <row r="34" spans="1:10" ht="13.5" x14ac:dyDescent="0.35">
      <c r="A34" s="3" t="s">
        <v>18</v>
      </c>
      <c r="B34" s="18">
        <f>B20*0.08</f>
        <v>0</v>
      </c>
      <c r="C34" s="18">
        <f>C20*0.08</f>
        <v>0</v>
      </c>
      <c r="D34" s="18">
        <f>D20*0.08</f>
        <v>0</v>
      </c>
      <c r="E34" s="18">
        <f t="shared" si="6"/>
        <v>0</v>
      </c>
    </row>
    <row r="35" spans="1:10" ht="13.5" x14ac:dyDescent="0.35">
      <c r="A35" s="3" t="s">
        <v>58</v>
      </c>
      <c r="B35" s="18">
        <f>B21*0.19</f>
        <v>0</v>
      </c>
      <c r="C35" s="18">
        <f>C21*0.19</f>
        <v>4510.9800000000005</v>
      </c>
      <c r="D35" s="18">
        <f>D21*0.19</f>
        <v>4545.18</v>
      </c>
      <c r="E35" s="18">
        <f t="shared" si="6"/>
        <v>9056.16</v>
      </c>
      <c r="F35" s="26">
        <f>F21*0.19</f>
        <v>4528.08</v>
      </c>
      <c r="G35" s="26">
        <f>G21*0.19</f>
        <v>4528.08</v>
      </c>
    </row>
    <row r="36" spans="1:10" ht="13.5" x14ac:dyDescent="0.35">
      <c r="A36" s="3" t="s">
        <v>50</v>
      </c>
      <c r="B36" s="18">
        <f>B22*30%</f>
        <v>0</v>
      </c>
      <c r="C36" s="18">
        <f>C22*30%</f>
        <v>0</v>
      </c>
      <c r="D36" s="18">
        <f>D22*30%</f>
        <v>0</v>
      </c>
      <c r="E36" s="18">
        <f t="shared" si="6"/>
        <v>0</v>
      </c>
    </row>
    <row r="37" spans="1:10" ht="13.5" x14ac:dyDescent="0.35">
      <c r="A37" s="15" t="s">
        <v>52</v>
      </c>
      <c r="B37" s="18">
        <f>B23*0.18</f>
        <v>0</v>
      </c>
      <c r="C37" s="18">
        <f>C23*0.18</f>
        <v>0</v>
      </c>
      <c r="D37" s="18">
        <f>D23*0.18</f>
        <v>0</v>
      </c>
      <c r="E37" s="18">
        <f t="shared" si="6"/>
        <v>0</v>
      </c>
    </row>
    <row r="38" spans="1:10" ht="13.5" x14ac:dyDescent="0.35">
      <c r="A38" s="3" t="s">
        <v>14</v>
      </c>
      <c r="B38" s="18">
        <f>(B24+B26)*1%</f>
        <v>120</v>
      </c>
      <c r="C38" s="18">
        <f>(C24+C26)*1%</f>
        <v>123.60000000000001</v>
      </c>
      <c r="D38" s="18">
        <f>(D24+D26)*1%</f>
        <v>127.30799999999999</v>
      </c>
      <c r="E38" s="18">
        <f t="shared" si="6"/>
        <v>370.90800000000002</v>
      </c>
      <c r="F38" s="27">
        <f>E38</f>
        <v>370.90800000000002</v>
      </c>
    </row>
    <row r="39" spans="1:10" ht="13.5" x14ac:dyDescent="0.35">
      <c r="A39" s="3" t="s">
        <v>13</v>
      </c>
      <c r="B39" s="18">
        <f>(B25+B27)*2%</f>
        <v>180</v>
      </c>
      <c r="C39" s="18">
        <f>(C25+C27)*2%</f>
        <v>185.4</v>
      </c>
      <c r="D39" s="18">
        <f>(D25+D27)*2%</f>
        <v>190.96200000000002</v>
      </c>
      <c r="E39" s="18">
        <f t="shared" si="6"/>
        <v>556.36199999999997</v>
      </c>
      <c r="F39" s="27">
        <f>E39</f>
        <v>556.36199999999997</v>
      </c>
    </row>
    <row r="40" spans="1:10" s="2" customFormat="1" ht="13.9" x14ac:dyDescent="0.4">
      <c r="A40" s="8" t="s">
        <v>42</v>
      </c>
      <c r="B40" s="19">
        <f>SUM(B31:B39)</f>
        <v>19543.851613333336</v>
      </c>
      <c r="C40" s="19">
        <f>SUM(C31:C39)</f>
        <v>27951.284941733335</v>
      </c>
      <c r="D40" s="19">
        <f>SUM(D31:D39)</f>
        <v>28688.694089985336</v>
      </c>
      <c r="E40" s="18">
        <f t="shared" si="6"/>
        <v>76183.830645052003</v>
      </c>
      <c r="F40" s="31">
        <f>SUM(F31:F39)</f>
        <v>50848.284805452007</v>
      </c>
      <c r="G40" s="2">
        <f>SUM(G31:G39)</f>
        <v>25335.427839600001</v>
      </c>
      <c r="H40" s="31">
        <f>SUM(F40:G40)</f>
        <v>76183.712645052001</v>
      </c>
    </row>
    <row r="41" spans="1:10" s="2" customFormat="1" ht="13.9" x14ac:dyDescent="0.4">
      <c r="A41" s="8"/>
      <c r="B41" s="10"/>
      <c r="C41" s="10"/>
      <c r="D41" s="10"/>
      <c r="E41" s="9"/>
    </row>
    <row r="42" spans="1:10" s="2" customFormat="1" ht="13.9" x14ac:dyDescent="0.4">
      <c r="A42" s="6" t="s">
        <v>12</v>
      </c>
      <c r="B42" s="19">
        <f>SUM(B14,B28,B40)</f>
        <v>110854.77672444444</v>
      </c>
      <c r="C42" s="19">
        <f>SUM(C14,C28,C40)</f>
        <v>158113.15686173335</v>
      </c>
      <c r="D42" s="19">
        <f>SUM(D14,D28,D40)</f>
        <v>162223.16216758534</v>
      </c>
      <c r="E42" s="18">
        <f>SUM(B42:D42)</f>
        <v>431191.0957537631</v>
      </c>
      <c r="F42" s="31">
        <f>F14+F28+F40</f>
        <v>307711.16556638532</v>
      </c>
      <c r="G42" s="29">
        <f>G14+G28+G40</f>
        <v>123479.3844096</v>
      </c>
      <c r="H42" s="31">
        <f>SUM(F42:G42)</f>
        <v>431190.54997598531</v>
      </c>
    </row>
    <row r="43" spans="1:10" ht="13.5" x14ac:dyDescent="0.35">
      <c r="A43" s="3"/>
      <c r="B43" s="9"/>
      <c r="C43" s="9"/>
      <c r="D43" s="9"/>
      <c r="E43" s="9"/>
    </row>
    <row r="44" spans="1:10" ht="13.9" x14ac:dyDescent="0.4">
      <c r="A44" s="6" t="s">
        <v>22</v>
      </c>
      <c r="B44" s="9"/>
      <c r="C44" s="9"/>
      <c r="D44" s="9"/>
      <c r="E44" s="9"/>
    </row>
    <row r="45" spans="1:10" ht="13.5" x14ac:dyDescent="0.35">
      <c r="A45" s="3" t="s">
        <v>23</v>
      </c>
      <c r="B45" s="25">
        <v>15850</v>
      </c>
      <c r="C45" s="25">
        <v>29800</v>
      </c>
      <c r="D45" s="25">
        <v>25700</v>
      </c>
      <c r="E45" s="18">
        <f>SUM(B45:D45)</f>
        <v>71350</v>
      </c>
      <c r="F45" s="28">
        <v>67430</v>
      </c>
      <c r="G45" s="28">
        <v>49930</v>
      </c>
      <c r="H45" t="s">
        <v>95</v>
      </c>
    </row>
    <row r="46" spans="1:10" ht="13.5" x14ac:dyDescent="0.35">
      <c r="A46" s="3" t="s">
        <v>24</v>
      </c>
      <c r="B46" s="25">
        <v>8835</v>
      </c>
      <c r="C46" s="25">
        <v>18650</v>
      </c>
      <c r="D46" s="25">
        <v>18525</v>
      </c>
      <c r="E46" s="18">
        <f>SUM(B46:D46)</f>
        <v>46010</v>
      </c>
    </row>
    <row r="47" spans="1:10" s="2" customFormat="1" ht="13.9" x14ac:dyDescent="0.4">
      <c r="A47" s="8" t="s">
        <v>41</v>
      </c>
      <c r="B47" s="19">
        <f>SUM(B45:B46)</f>
        <v>24685</v>
      </c>
      <c r="C47" s="19">
        <f>SUM(C45:C46)</f>
        <v>48450</v>
      </c>
      <c r="D47" s="19">
        <f>SUM(D45:D46)</f>
        <v>44225</v>
      </c>
      <c r="E47" s="18">
        <f>SUM(B47:D47)</f>
        <v>117360</v>
      </c>
      <c r="F47" s="32">
        <f>F45</f>
        <v>67430</v>
      </c>
      <c r="G47" s="32">
        <f>G45</f>
        <v>49930</v>
      </c>
    </row>
    <row r="48" spans="1:10" ht="13.9" x14ac:dyDescent="0.4">
      <c r="A48" s="3"/>
      <c r="B48" s="5" t="s">
        <v>36</v>
      </c>
      <c r="C48" s="5" t="s">
        <v>37</v>
      </c>
      <c r="D48" s="5" t="s">
        <v>59</v>
      </c>
      <c r="E48" s="5" t="s">
        <v>38</v>
      </c>
    </row>
    <row r="49" spans="1:11" ht="13.9" x14ac:dyDescent="0.4">
      <c r="A49" s="6" t="s">
        <v>31</v>
      </c>
      <c r="B49" s="9"/>
      <c r="C49" s="9"/>
      <c r="D49" s="9"/>
      <c r="E49" s="9"/>
    </row>
    <row r="50" spans="1:11" ht="51" x14ac:dyDescent="0.35">
      <c r="A50" s="3" t="s">
        <v>25</v>
      </c>
      <c r="B50" s="9">
        <v>14500</v>
      </c>
      <c r="C50" s="9">
        <v>10000</v>
      </c>
      <c r="D50" s="9">
        <v>10000</v>
      </c>
      <c r="E50" s="18">
        <f t="shared" ref="E50:E58" si="7">SUM(B50:D50)</f>
        <v>34500</v>
      </c>
      <c r="F50" s="27">
        <f>E50</f>
        <v>34500</v>
      </c>
      <c r="K50" s="24" t="s">
        <v>90</v>
      </c>
    </row>
    <row r="51" spans="1:11" ht="13.5" x14ac:dyDescent="0.35">
      <c r="A51" s="3" t="s">
        <v>47</v>
      </c>
      <c r="B51" s="9"/>
      <c r="C51" s="9"/>
      <c r="D51" s="9"/>
      <c r="E51" s="18">
        <f t="shared" si="7"/>
        <v>0</v>
      </c>
    </row>
    <row r="52" spans="1:11" ht="13.5" x14ac:dyDescent="0.35">
      <c r="A52" s="3" t="s">
        <v>26</v>
      </c>
      <c r="B52" s="9"/>
      <c r="C52" s="9"/>
      <c r="D52" s="9"/>
      <c r="E52" s="18">
        <f t="shared" si="7"/>
        <v>0</v>
      </c>
    </row>
    <row r="53" spans="1:11" ht="13.5" x14ac:dyDescent="0.35">
      <c r="A53" s="3" t="s">
        <v>27</v>
      </c>
      <c r="B53" s="9"/>
      <c r="C53" s="9"/>
      <c r="D53" s="9"/>
      <c r="E53" s="18">
        <f t="shared" si="7"/>
        <v>0</v>
      </c>
    </row>
    <row r="54" spans="1:11" ht="13.5" x14ac:dyDescent="0.35">
      <c r="A54" s="3" t="s">
        <v>57</v>
      </c>
      <c r="B54" s="9"/>
      <c r="C54" s="9"/>
      <c r="D54" s="9"/>
      <c r="E54" s="18">
        <f t="shared" si="7"/>
        <v>0</v>
      </c>
    </row>
    <row r="55" spans="1:11" ht="13.5" x14ac:dyDescent="0.35">
      <c r="A55" s="3" t="s">
        <v>28</v>
      </c>
      <c r="B55" s="9">
        <v>1000</v>
      </c>
      <c r="C55" s="9">
        <v>1000</v>
      </c>
      <c r="D55" s="9">
        <v>1000</v>
      </c>
      <c r="E55" s="18">
        <f t="shared" si="7"/>
        <v>3000</v>
      </c>
      <c r="F55" s="27">
        <f>E55</f>
        <v>3000</v>
      </c>
    </row>
    <row r="56" spans="1:11" ht="13.5" x14ac:dyDescent="0.35">
      <c r="A56" s="3" t="s">
        <v>29</v>
      </c>
      <c r="B56" s="9"/>
      <c r="C56" s="9"/>
      <c r="D56" s="9"/>
      <c r="E56" s="18">
        <f t="shared" si="7"/>
        <v>0</v>
      </c>
    </row>
    <row r="57" spans="1:11" ht="13.5" x14ac:dyDescent="0.35">
      <c r="A57" s="3" t="s">
        <v>30</v>
      </c>
      <c r="B57" s="9"/>
      <c r="C57" s="9"/>
      <c r="D57" s="9"/>
      <c r="E57" s="18">
        <f t="shared" si="7"/>
        <v>0</v>
      </c>
    </row>
    <row r="58" spans="1:11" s="2" customFormat="1" ht="13.9" x14ac:dyDescent="0.4">
      <c r="A58" s="8" t="s">
        <v>40</v>
      </c>
      <c r="B58" s="19">
        <f>SUM(B50:B57)</f>
        <v>15500</v>
      </c>
      <c r="C58" s="19">
        <f>SUM(C50:C57)</f>
        <v>11000</v>
      </c>
      <c r="D58" s="19">
        <f>SUM(D50:D57)</f>
        <v>11000</v>
      </c>
      <c r="E58" s="18">
        <f t="shared" si="7"/>
        <v>37500</v>
      </c>
      <c r="F58" s="29">
        <f>SUM(F50:F57)</f>
        <v>37500</v>
      </c>
    </row>
    <row r="59" spans="1:11" s="2" customFormat="1" ht="13.9" x14ac:dyDescent="0.4">
      <c r="A59" s="3"/>
      <c r="B59" s="10"/>
      <c r="C59" s="10"/>
      <c r="D59" s="10"/>
      <c r="E59" s="10"/>
    </row>
    <row r="60" spans="1:11" ht="13.9" x14ac:dyDescent="0.4">
      <c r="A60" s="6" t="s">
        <v>32</v>
      </c>
      <c r="B60" s="9"/>
      <c r="C60" s="9"/>
      <c r="D60" s="9"/>
      <c r="E60" s="9"/>
    </row>
    <row r="61" spans="1:11" ht="27" x14ac:dyDescent="0.35">
      <c r="A61" s="15" t="s">
        <v>91</v>
      </c>
      <c r="B61" s="9">
        <v>25479</v>
      </c>
      <c r="C61" s="9"/>
      <c r="D61" s="9"/>
      <c r="E61" s="18">
        <f t="shared" ref="E61:E72" si="8">SUM(B61:D61)</f>
        <v>25479</v>
      </c>
      <c r="G61" s="27">
        <f>E61</f>
        <v>25479</v>
      </c>
    </row>
    <row r="62" spans="1:11" ht="13.5" x14ac:dyDescent="0.35">
      <c r="A62" s="3" t="s">
        <v>33</v>
      </c>
      <c r="B62" s="9"/>
      <c r="C62" s="9"/>
      <c r="D62" s="9"/>
      <c r="E62" s="18">
        <f t="shared" si="8"/>
        <v>0</v>
      </c>
    </row>
    <row r="63" spans="1:11" ht="13.5" x14ac:dyDescent="0.35">
      <c r="A63" s="3" t="s">
        <v>34</v>
      </c>
      <c r="B63" s="9"/>
      <c r="C63" s="9"/>
      <c r="D63" s="9"/>
      <c r="E63" s="18">
        <f t="shared" si="8"/>
        <v>0</v>
      </c>
    </row>
    <row r="64" spans="1:11" ht="13.5" x14ac:dyDescent="0.35">
      <c r="A64" s="3" t="s">
        <v>11</v>
      </c>
      <c r="B64" s="9"/>
      <c r="C64" s="9"/>
      <c r="D64" s="9"/>
      <c r="E64" s="18">
        <f t="shared" si="8"/>
        <v>0</v>
      </c>
    </row>
    <row r="65" spans="1:8" ht="13.5" x14ac:dyDescent="0.35">
      <c r="A65" s="3" t="s">
        <v>7</v>
      </c>
      <c r="B65" s="9"/>
      <c r="C65" s="9"/>
      <c r="D65" s="9"/>
      <c r="E65" s="18">
        <f t="shared" si="8"/>
        <v>0</v>
      </c>
    </row>
    <row r="66" spans="1:8" ht="13.5" x14ac:dyDescent="0.35">
      <c r="A66" s="3" t="s">
        <v>8</v>
      </c>
      <c r="B66" s="9"/>
      <c r="C66" s="9"/>
      <c r="D66" s="9"/>
      <c r="E66" s="18">
        <f t="shared" si="8"/>
        <v>0</v>
      </c>
    </row>
    <row r="67" spans="1:8" ht="13.5" x14ac:dyDescent="0.35">
      <c r="A67" s="3" t="s">
        <v>9</v>
      </c>
      <c r="B67" s="9"/>
      <c r="C67" s="9"/>
      <c r="D67" s="9"/>
      <c r="E67" s="18">
        <f t="shared" si="8"/>
        <v>0</v>
      </c>
    </row>
    <row r="68" spans="1:8" ht="13.5" x14ac:dyDescent="0.35">
      <c r="A68" s="3" t="s">
        <v>10</v>
      </c>
      <c r="B68" s="9"/>
      <c r="C68" s="9"/>
      <c r="D68" s="9"/>
      <c r="E68" s="18">
        <f t="shared" si="8"/>
        <v>0</v>
      </c>
    </row>
    <row r="69" spans="1:8" ht="40.5" x14ac:dyDescent="0.35">
      <c r="A69" s="15" t="s">
        <v>63</v>
      </c>
      <c r="B69" s="9"/>
      <c r="C69" s="9">
        <f>B69*1.05</f>
        <v>0</v>
      </c>
      <c r="D69" s="9">
        <f>C69*1.05</f>
        <v>0</v>
      </c>
      <c r="E69" s="18">
        <f t="shared" si="8"/>
        <v>0</v>
      </c>
    </row>
    <row r="70" spans="1:8" ht="13.5" x14ac:dyDescent="0.35">
      <c r="A70" s="3" t="s">
        <v>35</v>
      </c>
      <c r="B70" s="9"/>
      <c r="C70" s="9"/>
      <c r="D70" s="9"/>
      <c r="E70" s="18">
        <f t="shared" si="8"/>
        <v>0</v>
      </c>
    </row>
    <row r="71" spans="1:8" ht="13.5" x14ac:dyDescent="0.35">
      <c r="A71" s="3" t="s">
        <v>64</v>
      </c>
      <c r="B71" s="9"/>
      <c r="C71" s="9">
        <f>B71*1.03</f>
        <v>0</v>
      </c>
      <c r="D71" s="9">
        <f>C71*1.03</f>
        <v>0</v>
      </c>
      <c r="E71" s="18">
        <f t="shared" si="8"/>
        <v>0</v>
      </c>
    </row>
    <row r="72" spans="1:8" ht="13.9" x14ac:dyDescent="0.4">
      <c r="A72" s="8" t="s">
        <v>39</v>
      </c>
      <c r="B72" s="19">
        <f>SUM(B61:B71)</f>
        <v>25479</v>
      </c>
      <c r="C72" s="19">
        <f>SUM(C61:C71)</f>
        <v>0</v>
      </c>
      <c r="D72" s="19">
        <f>SUM(D61:D71)</f>
        <v>0</v>
      </c>
      <c r="E72" s="18">
        <f t="shared" si="8"/>
        <v>25479</v>
      </c>
      <c r="F72">
        <f>SUM(F61:F71)</f>
        <v>0</v>
      </c>
      <c r="G72" s="27">
        <f>SUM(G61:G71)</f>
        <v>25479</v>
      </c>
    </row>
    <row r="73" spans="1:8" ht="13.5" x14ac:dyDescent="0.35">
      <c r="A73" s="3"/>
      <c r="B73" s="9"/>
      <c r="C73" s="9"/>
      <c r="D73" s="9"/>
      <c r="E73" s="9"/>
    </row>
    <row r="74" spans="1:8" ht="13.5" x14ac:dyDescent="0.35">
      <c r="A74" s="3" t="s">
        <v>48</v>
      </c>
      <c r="B74" s="18">
        <f>B14+B28+B40+B47+B58-B54</f>
        <v>151039.77672444444</v>
      </c>
      <c r="C74" s="18">
        <f>C14+C28+C40+C47+C58-C54</f>
        <v>217563.15686173335</v>
      </c>
      <c r="D74" s="18">
        <f>D14+D28+D40+D47+D58-D54</f>
        <v>217448.16216758534</v>
      </c>
      <c r="E74" s="18">
        <f>SUM(B74:D74)</f>
        <v>586051.0957537631</v>
      </c>
      <c r="F74" s="27">
        <f>F42+F47+F58</f>
        <v>412641.16556638532</v>
      </c>
      <c r="G74" s="27">
        <f>G42+G47+G58</f>
        <v>173409.3844096</v>
      </c>
      <c r="H74" s="27">
        <f>SUM(F74:G74)</f>
        <v>586050.54997598531</v>
      </c>
    </row>
    <row r="75" spans="1:8" ht="13.5" x14ac:dyDescent="0.35">
      <c r="A75" s="3"/>
      <c r="B75" s="9"/>
      <c r="C75" s="9"/>
      <c r="D75" s="9"/>
      <c r="E75" s="9"/>
    </row>
    <row r="76" spans="1:8" ht="13.5" x14ac:dyDescent="0.35">
      <c r="A76" s="3" t="s">
        <v>45</v>
      </c>
      <c r="B76" s="18">
        <f>B14+B28+B40+B47+B58+B72</f>
        <v>176518.77672444444</v>
      </c>
      <c r="C76" s="18">
        <f>C14+C28+C40+C47+C58+C72</f>
        <v>217563.15686173335</v>
      </c>
      <c r="D76" s="18">
        <f>D14+D28+D40+D47+D58+D72</f>
        <v>217448.16216758534</v>
      </c>
      <c r="E76" s="18">
        <f>SUM(B76:D76)</f>
        <v>611530.0957537631</v>
      </c>
      <c r="F76" s="27">
        <f>F74+F72</f>
        <v>412641.16556638532</v>
      </c>
      <c r="G76" s="27">
        <f>G74+G72</f>
        <v>198888.3844096</v>
      </c>
    </row>
    <row r="77" spans="1:8" ht="13.5" x14ac:dyDescent="0.35">
      <c r="A77" s="3"/>
      <c r="B77" s="9"/>
      <c r="C77" s="9"/>
      <c r="D77" s="9"/>
      <c r="E77" s="9"/>
    </row>
    <row r="78" spans="1:8" ht="13.5" x14ac:dyDescent="0.35">
      <c r="A78" s="3" t="s">
        <v>4</v>
      </c>
      <c r="B78" s="18">
        <f>B74*0.555</f>
        <v>83827.076082066676</v>
      </c>
      <c r="C78" s="18">
        <f>C74*55.5%</f>
        <v>120747.55205826202</v>
      </c>
      <c r="D78" s="18">
        <f>D74*55.5%</f>
        <v>120683.73000300987</v>
      </c>
      <c r="E78" s="18">
        <f>SUM(B78:D78)</f>
        <v>325258.35814333858</v>
      </c>
      <c r="F78" s="26">
        <f>F74*0.555</f>
        <v>229015.84688934387</v>
      </c>
      <c r="G78" s="26">
        <f>G74*0.555</f>
        <v>96242.208347328007</v>
      </c>
      <c r="H78" s="26">
        <f>SUM(F78:G78)</f>
        <v>325258.05523667188</v>
      </c>
    </row>
    <row r="79" spans="1:8" ht="13.5" x14ac:dyDescent="0.35">
      <c r="A79" s="3"/>
      <c r="B79" s="9"/>
      <c r="C79" s="9"/>
      <c r="D79" s="9"/>
      <c r="E79" s="9"/>
    </row>
    <row r="80" spans="1:8" ht="13.9" x14ac:dyDescent="0.4">
      <c r="A80" s="4" t="s">
        <v>46</v>
      </c>
      <c r="B80" s="18">
        <f>B76+B78</f>
        <v>260345.8528065111</v>
      </c>
      <c r="C80" s="18">
        <f>C76+C78</f>
        <v>338310.70891999535</v>
      </c>
      <c r="D80" s="18">
        <f>D76+D78</f>
        <v>338131.89217059524</v>
      </c>
      <c r="E80" s="18">
        <f>SUM(B80:D80)</f>
        <v>936788.45389710169</v>
      </c>
      <c r="F80" s="26">
        <f>F76+F78</f>
        <v>641657.01245572919</v>
      </c>
      <c r="G80" s="26">
        <f>G76+G78</f>
        <v>295130.592756928</v>
      </c>
      <c r="H80" s="26">
        <f>SUM(F80:G80)</f>
        <v>936787.60521265725</v>
      </c>
    </row>
    <row r="81" spans="1:8" ht="15" x14ac:dyDescent="0.4">
      <c r="A81" s="1"/>
      <c r="B81" s="1"/>
      <c r="C81" s="1"/>
      <c r="D81" s="1"/>
      <c r="E81" s="1"/>
    </row>
    <row r="82" spans="1:8" ht="15" x14ac:dyDescent="0.4">
      <c r="A82" s="1" t="s">
        <v>5</v>
      </c>
      <c r="B82" s="1"/>
      <c r="C82" s="1"/>
      <c r="D82" s="1"/>
      <c r="E82" s="1"/>
      <c r="F82">
        <f>F80/E80</f>
        <v>0.68495401473661821</v>
      </c>
      <c r="G82">
        <f>G80/E80</f>
        <v>0.31504507931237336</v>
      </c>
      <c r="H82">
        <f>SUM(F82:G82)</f>
        <v>0.99999909404899157</v>
      </c>
    </row>
    <row r="83" spans="1:8" ht="15" x14ac:dyDescent="0.4">
      <c r="A83" s="1" t="s">
        <v>6</v>
      </c>
      <c r="B83" s="1"/>
      <c r="C83" s="1"/>
      <c r="D83" s="1"/>
      <c r="E83" s="1"/>
    </row>
    <row r="84" spans="1:8" ht="15" x14ac:dyDescent="0.4">
      <c r="A84" s="1" t="s">
        <v>15</v>
      </c>
      <c r="B84" s="1"/>
      <c r="C84" s="1"/>
      <c r="D84" s="1"/>
      <c r="E84" s="1"/>
    </row>
    <row r="85" spans="1:8" ht="15.4" thickBot="1" x14ac:dyDescent="0.45">
      <c r="A85" s="1"/>
      <c r="B85" s="1"/>
      <c r="C85" s="1"/>
      <c r="D85" s="1"/>
      <c r="E85" s="1"/>
    </row>
    <row r="86" spans="1:8" ht="15.4" thickBot="1" x14ac:dyDescent="0.45">
      <c r="A86" s="14" t="s">
        <v>16</v>
      </c>
      <c r="B86" s="1"/>
      <c r="C86" s="1"/>
      <c r="D86" s="1"/>
      <c r="E86" s="1"/>
    </row>
    <row r="87" spans="1:8" ht="15" x14ac:dyDescent="0.4">
      <c r="A87" s="12" t="s">
        <v>60</v>
      </c>
      <c r="B87" s="1"/>
      <c r="C87" s="1"/>
      <c r="D87" s="1"/>
      <c r="E87" s="1"/>
    </row>
    <row r="88" spans="1:8" ht="15" x14ac:dyDescent="0.4">
      <c r="A88" s="12" t="s">
        <v>17</v>
      </c>
      <c r="B88" s="1"/>
      <c r="C88" s="1"/>
      <c r="D88" s="1"/>
      <c r="E88" s="1"/>
    </row>
    <row r="89" spans="1:8" ht="15" x14ac:dyDescent="0.4">
      <c r="A89" s="12" t="s">
        <v>0</v>
      </c>
      <c r="B89" s="1"/>
      <c r="C89" s="1"/>
      <c r="D89" s="1"/>
      <c r="E89" s="1"/>
    </row>
    <row r="90" spans="1:8" ht="15.4" thickBot="1" x14ac:dyDescent="0.45">
      <c r="A90" s="13" t="s">
        <v>1</v>
      </c>
      <c r="B90" s="1"/>
      <c r="C90" s="1"/>
      <c r="D90" s="1"/>
      <c r="E90" s="1"/>
    </row>
    <row r="91" spans="1:8" ht="15" x14ac:dyDescent="0.4">
      <c r="A91" s="1"/>
      <c r="B91" s="1"/>
      <c r="C91" s="1"/>
      <c r="D91" s="1"/>
      <c r="E91" s="1"/>
    </row>
    <row r="92" spans="1:8" ht="15" x14ac:dyDescent="0.4">
      <c r="A92" s="1" t="s">
        <v>2</v>
      </c>
      <c r="B92" s="1"/>
      <c r="C92" s="1"/>
      <c r="D92" s="1"/>
      <c r="E92" s="1"/>
    </row>
    <row r="93" spans="1:8" ht="15" x14ac:dyDescent="0.4">
      <c r="A93" s="1" t="s">
        <v>61</v>
      </c>
      <c r="B93" s="1"/>
      <c r="C93" s="1"/>
      <c r="D93" s="1"/>
      <c r="E93" s="1"/>
    </row>
    <row r="94" spans="1:8" ht="15" x14ac:dyDescent="0.4">
      <c r="A94" s="1" t="s">
        <v>62</v>
      </c>
      <c r="B94" s="1"/>
      <c r="C94" s="1"/>
      <c r="D94" s="1"/>
      <c r="E94" s="1"/>
    </row>
    <row r="95" spans="1:8" ht="15" x14ac:dyDescent="0.4">
      <c r="A95" s="1" t="s">
        <v>3</v>
      </c>
      <c r="B95" s="1"/>
      <c r="C95" s="1"/>
      <c r="D95" s="1"/>
      <c r="E95" s="1"/>
    </row>
    <row r="96" spans="1:8" ht="15" x14ac:dyDescent="0.4">
      <c r="A96" s="1"/>
      <c r="B96" s="1"/>
      <c r="C96" s="1"/>
      <c r="D96" s="1"/>
      <c r="E96" s="1"/>
    </row>
    <row r="97" spans="1:5" ht="15" x14ac:dyDescent="0.4">
      <c r="A97" s="1"/>
      <c r="B97" s="1"/>
      <c r="C97" s="1"/>
      <c r="D97" s="1"/>
      <c r="E97" s="1"/>
    </row>
    <row r="98" spans="1:5" ht="15" x14ac:dyDescent="0.4">
      <c r="A98" s="1"/>
      <c r="B98" s="1"/>
      <c r="C98" s="1"/>
      <c r="D98" s="1"/>
      <c r="E98" s="1"/>
    </row>
    <row r="99" spans="1:5" ht="15" x14ac:dyDescent="0.4">
      <c r="A99" s="1"/>
      <c r="B99" s="1"/>
      <c r="C99" s="1"/>
      <c r="D99" s="1"/>
      <c r="E99" s="1"/>
    </row>
    <row r="100" spans="1:5" ht="15" x14ac:dyDescent="0.4">
      <c r="A100" s="1"/>
      <c r="B100" s="1"/>
      <c r="C100" s="1"/>
      <c r="D100" s="1"/>
      <c r="E100" s="1"/>
    </row>
    <row r="101" spans="1:5" ht="15" x14ac:dyDescent="0.4">
      <c r="A101" s="1"/>
      <c r="B101" s="1"/>
      <c r="C101" s="1"/>
      <c r="D101" s="1"/>
      <c r="E101" s="1"/>
    </row>
    <row r="102" spans="1:5" ht="15" x14ac:dyDescent="0.4">
      <c r="A102" s="1"/>
      <c r="B102" s="1"/>
      <c r="C102" s="1"/>
      <c r="D102" s="1"/>
      <c r="E102" s="1"/>
    </row>
    <row r="103" spans="1:5" ht="15" x14ac:dyDescent="0.4">
      <c r="A103" s="1"/>
      <c r="B103" s="1"/>
      <c r="C103" s="1"/>
      <c r="D103" s="1"/>
      <c r="E103" s="1"/>
    </row>
    <row r="104" spans="1:5" ht="15" x14ac:dyDescent="0.4">
      <c r="A104" s="1"/>
      <c r="B104" s="1"/>
      <c r="C104" s="1"/>
      <c r="D104" s="1"/>
      <c r="E104" s="1"/>
    </row>
    <row r="105" spans="1:5" ht="15" x14ac:dyDescent="0.4">
      <c r="A105" s="1"/>
      <c r="B105" s="1"/>
      <c r="C105" s="1"/>
      <c r="D105" s="1"/>
      <c r="E105" s="1"/>
    </row>
    <row r="106" spans="1:5" ht="15" x14ac:dyDescent="0.4">
      <c r="A106" s="1"/>
      <c r="B106" s="1"/>
      <c r="C106" s="1"/>
      <c r="D106" s="1"/>
      <c r="E106" s="1"/>
    </row>
    <row r="107" spans="1:5" ht="15" x14ac:dyDescent="0.4">
      <c r="B107" s="11"/>
      <c r="C107" s="11"/>
      <c r="D107" s="11"/>
      <c r="E107" s="11"/>
    </row>
    <row r="108" spans="1:5" ht="15" x14ac:dyDescent="0.4">
      <c r="B108" s="11"/>
      <c r="C108" s="11"/>
      <c r="D108" s="11"/>
      <c r="E108" s="11"/>
    </row>
    <row r="109" spans="1:5" ht="15" x14ac:dyDescent="0.4">
      <c r="B109" s="11"/>
      <c r="C109" s="11"/>
      <c r="D109" s="11"/>
      <c r="E109" s="11"/>
    </row>
    <row r="110" spans="1:5" ht="15" x14ac:dyDescent="0.4">
      <c r="B110" s="11"/>
      <c r="C110" s="11"/>
      <c r="D110" s="11"/>
      <c r="E110" s="11"/>
    </row>
    <row r="111" spans="1:5" ht="15" x14ac:dyDescent="0.4">
      <c r="B111" s="11"/>
      <c r="C111" s="11"/>
      <c r="D111" s="11"/>
      <c r="E111" s="11"/>
    </row>
    <row r="112" spans="1:5" ht="15" x14ac:dyDescent="0.4">
      <c r="B112" s="11"/>
      <c r="C112" s="11"/>
      <c r="D112" s="11"/>
      <c r="E112" s="11"/>
    </row>
    <row r="113" spans="2:5" ht="15" x14ac:dyDescent="0.4">
      <c r="B113" s="11"/>
      <c r="C113" s="11"/>
      <c r="D113" s="11"/>
      <c r="E113" s="11"/>
    </row>
    <row r="114" spans="2:5" ht="15" x14ac:dyDescent="0.4">
      <c r="B114" s="11"/>
      <c r="C114" s="11"/>
      <c r="D114" s="11"/>
      <c r="E114" s="11"/>
    </row>
    <row r="115" spans="2:5" ht="15" x14ac:dyDescent="0.4">
      <c r="B115" s="11"/>
      <c r="C115" s="11"/>
      <c r="D115" s="11"/>
      <c r="E115" s="11"/>
    </row>
    <row r="116" spans="2:5" ht="15" x14ac:dyDescent="0.4">
      <c r="B116" s="11"/>
      <c r="C116" s="11"/>
      <c r="D116" s="11"/>
      <c r="E116" s="11"/>
    </row>
    <row r="117" spans="2:5" ht="15" x14ac:dyDescent="0.4">
      <c r="B117" s="11"/>
      <c r="C117" s="11"/>
      <c r="D117" s="11"/>
      <c r="E117" s="11"/>
    </row>
    <row r="118" spans="2:5" ht="15" x14ac:dyDescent="0.4">
      <c r="B118" s="11"/>
      <c r="C118" s="11"/>
      <c r="D118" s="11"/>
      <c r="E118" s="11"/>
    </row>
    <row r="119" spans="2:5" ht="15" x14ac:dyDescent="0.4">
      <c r="B119" s="11"/>
      <c r="C119" s="11"/>
      <c r="D119" s="11"/>
      <c r="E119" s="11"/>
    </row>
    <row r="120" spans="2:5" ht="15" x14ac:dyDescent="0.4">
      <c r="B120" s="11"/>
      <c r="C120" s="11"/>
      <c r="D120" s="11"/>
      <c r="E120" s="11"/>
    </row>
    <row r="121" spans="2:5" ht="15" x14ac:dyDescent="0.4">
      <c r="B121" s="11"/>
      <c r="C121" s="11"/>
      <c r="D121" s="11"/>
      <c r="E121" s="11"/>
    </row>
    <row r="122" spans="2:5" ht="15" x14ac:dyDescent="0.4">
      <c r="B122" s="11"/>
      <c r="C122" s="11"/>
      <c r="D122" s="11"/>
      <c r="E122" s="11"/>
    </row>
    <row r="123" spans="2:5" ht="15" x14ac:dyDescent="0.4">
      <c r="B123" s="11"/>
      <c r="C123" s="11"/>
      <c r="D123" s="11"/>
      <c r="E123" s="11"/>
    </row>
    <row r="124" spans="2:5" ht="15" x14ac:dyDescent="0.4">
      <c r="B124" s="11"/>
      <c r="C124" s="11"/>
      <c r="D124" s="11"/>
      <c r="E124" s="11"/>
    </row>
    <row r="125" spans="2:5" ht="15" x14ac:dyDescent="0.4">
      <c r="B125" s="11"/>
      <c r="C125" s="11"/>
      <c r="D125" s="11"/>
      <c r="E125" s="11"/>
    </row>
    <row r="126" spans="2:5" ht="15" x14ac:dyDescent="0.4">
      <c r="B126" s="11"/>
      <c r="C126" s="11"/>
      <c r="D126" s="11"/>
      <c r="E126" s="11"/>
    </row>
    <row r="127" spans="2:5" ht="15" x14ac:dyDescent="0.4">
      <c r="B127" s="11"/>
      <c r="C127" s="11"/>
      <c r="D127" s="11"/>
      <c r="E127" s="11"/>
    </row>
    <row r="128" spans="2:5" ht="15" x14ac:dyDescent="0.4">
      <c r="B128" s="11"/>
      <c r="C128" s="11"/>
      <c r="D128" s="11"/>
      <c r="E128" s="11"/>
    </row>
    <row r="129" spans="2:5" ht="15" x14ac:dyDescent="0.4">
      <c r="B129" s="11"/>
      <c r="C129" s="11"/>
      <c r="D129" s="11"/>
      <c r="E129" s="11"/>
    </row>
    <row r="130" spans="2:5" ht="15" x14ac:dyDescent="0.4">
      <c r="B130" s="11"/>
      <c r="C130" s="11"/>
      <c r="D130" s="11"/>
      <c r="E130" s="11"/>
    </row>
    <row r="131" spans="2:5" ht="15" x14ac:dyDescent="0.4">
      <c r="B131" s="11"/>
      <c r="C131" s="11"/>
      <c r="D131" s="11"/>
      <c r="E131" s="11"/>
    </row>
    <row r="132" spans="2:5" ht="15" x14ac:dyDescent="0.4">
      <c r="B132" s="11"/>
      <c r="C132" s="11"/>
      <c r="D132" s="11"/>
      <c r="E132" s="11"/>
    </row>
  </sheetData>
  <phoneticPr fontId="0" type="noConversion"/>
  <printOptions horizontalCentered="1"/>
  <pageMargins left="0.25" right="0.15" top="0.5" bottom="0.5" header="0.5" footer="0.5"/>
  <pageSetup scale="82" orientation="portrait" horizontalDpi="300" verticalDpi="300"/>
  <headerFooter alignWithMargins="0"/>
  <rowBreaks count="1" manualBreakCount="1">
    <brk id="47" max="4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University of Colorado at 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Lynette Michael</dc:creator>
  <cp:lastModifiedBy>Amy Roberts</cp:lastModifiedBy>
  <cp:lastPrinted>2017-10-20T17:47:03Z</cp:lastPrinted>
  <dcterms:created xsi:type="dcterms:W3CDTF">1999-07-14T19:17:12Z</dcterms:created>
  <dcterms:modified xsi:type="dcterms:W3CDTF">2019-03-11T23:55:28Z</dcterms:modified>
</cp:coreProperties>
</file>