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nto\Repositories\SI2.git\CSSI_2019\forms\"/>
    </mc:Choice>
  </mc:AlternateContent>
  <xr:revisionPtr revIDLastSave="0" documentId="13_ncr:1_{23BBB21F-4B69-4443-A064-A4C11B07DAED}" xr6:coauthVersionLast="41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Print_Area" localSheetId="0">Sheet1!$A$1:$E$77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8" i="1" l="1"/>
  <c r="D54" i="1"/>
  <c r="C54" i="1"/>
  <c r="B54" i="1"/>
  <c r="M68" i="1"/>
  <c r="K68" i="1"/>
  <c r="D36" i="1"/>
  <c r="C36" i="1"/>
  <c r="B36" i="1"/>
  <c r="D35" i="1"/>
  <c r="C35" i="1"/>
  <c r="B35" i="1"/>
  <c r="D28" i="1"/>
  <c r="C28" i="1"/>
  <c r="B28" i="1"/>
  <c r="B10" i="1"/>
  <c r="B18" i="1" l="1"/>
  <c r="C18" i="1" s="1"/>
  <c r="D8" i="1"/>
  <c r="C8" i="1"/>
  <c r="C10" i="1"/>
  <c r="B66" i="1"/>
  <c r="C67" i="1"/>
  <c r="D67" i="1" s="1"/>
  <c r="E67" i="1" s="1"/>
  <c r="B9" i="1"/>
  <c r="B11" i="1" s="1"/>
  <c r="B8" i="1"/>
  <c r="B15" i="1"/>
  <c r="B29" i="1" s="1"/>
  <c r="D14" i="1"/>
  <c r="C14" i="1"/>
  <c r="B14" i="1"/>
  <c r="E14" i="1"/>
  <c r="E8" i="1"/>
  <c r="B23" i="1"/>
  <c r="C23" i="1"/>
  <c r="E23" i="1" s="1"/>
  <c r="D23" i="1"/>
  <c r="B24" i="1"/>
  <c r="C24" i="1"/>
  <c r="E24" i="1" s="1"/>
  <c r="D24" i="1"/>
  <c r="B21" i="1"/>
  <c r="C21" i="1"/>
  <c r="D21" i="1" s="1"/>
  <c r="B22" i="1"/>
  <c r="C22" i="1"/>
  <c r="D22" i="1" s="1"/>
  <c r="E47" i="1"/>
  <c r="E52" i="1"/>
  <c r="B30" i="1"/>
  <c r="B31" i="1"/>
  <c r="B32" i="1"/>
  <c r="B33" i="1"/>
  <c r="E33" i="1" s="1"/>
  <c r="B34" i="1"/>
  <c r="B44" i="1"/>
  <c r="B55" i="1"/>
  <c r="C16" i="1"/>
  <c r="D16" i="1" s="1"/>
  <c r="C17" i="1"/>
  <c r="C19" i="1"/>
  <c r="E19" i="1" s="1"/>
  <c r="C20" i="1"/>
  <c r="D20" i="1" s="1"/>
  <c r="C30" i="1"/>
  <c r="C31" i="1"/>
  <c r="C33" i="1"/>
  <c r="C34" i="1"/>
  <c r="C44" i="1"/>
  <c r="C55" i="1"/>
  <c r="C66" i="1"/>
  <c r="D17" i="1"/>
  <c r="D31" i="1" s="1"/>
  <c r="E31" i="1" s="1"/>
  <c r="D19" i="1"/>
  <c r="D33" i="1"/>
  <c r="D44" i="1"/>
  <c r="D55" i="1"/>
  <c r="E58" i="1"/>
  <c r="E65" i="1"/>
  <c r="E64" i="1"/>
  <c r="E63" i="1"/>
  <c r="E62" i="1"/>
  <c r="E61" i="1"/>
  <c r="E60" i="1"/>
  <c r="E59" i="1"/>
  <c r="E54" i="1"/>
  <c r="E53" i="1"/>
  <c r="E51" i="1"/>
  <c r="E50" i="1"/>
  <c r="E49" i="1"/>
  <c r="E48" i="1"/>
  <c r="E43" i="1"/>
  <c r="E42" i="1"/>
  <c r="E44" i="1"/>
  <c r="C15" i="1" l="1"/>
  <c r="C29" i="1" s="1"/>
  <c r="B25" i="1"/>
  <c r="E55" i="1"/>
  <c r="E21" i="1"/>
  <c r="C68" i="1"/>
  <c r="D68" i="1" s="1"/>
  <c r="E68" i="1"/>
  <c r="D10" i="1"/>
  <c r="E10" i="1" s="1"/>
  <c r="E16" i="1"/>
  <c r="D30" i="1"/>
  <c r="E30" i="1" s="1"/>
  <c r="E22" i="1"/>
  <c r="E20" i="1"/>
  <c r="D34" i="1"/>
  <c r="E34" i="1" s="1"/>
  <c r="E36" i="1"/>
  <c r="B69" i="1"/>
  <c r="C32" i="1"/>
  <c r="E32" i="1" s="1"/>
  <c r="D18" i="1"/>
  <c r="D32" i="1" s="1"/>
  <c r="E18" i="1"/>
  <c r="D66" i="1"/>
  <c r="D15" i="1"/>
  <c r="D29" i="1" s="1"/>
  <c r="C25" i="1"/>
  <c r="E35" i="1"/>
  <c r="E17" i="1"/>
  <c r="C9" i="1"/>
  <c r="D69" i="1" l="1"/>
  <c r="E66" i="1"/>
  <c r="C11" i="1"/>
  <c r="D9" i="1"/>
  <c r="D11" i="1" s="1"/>
  <c r="E15" i="1"/>
  <c r="E29" i="1"/>
  <c r="C69" i="1"/>
  <c r="B37" i="1"/>
  <c r="D25" i="1"/>
  <c r="E25" i="1" s="1"/>
  <c r="E69" i="1" l="1"/>
  <c r="D37" i="1"/>
  <c r="D73" i="1" s="1"/>
  <c r="E11" i="1"/>
  <c r="B39" i="1"/>
  <c r="B73" i="1"/>
  <c r="B71" i="1"/>
  <c r="E9" i="1"/>
  <c r="D39" i="1" l="1"/>
  <c r="D71" i="1"/>
  <c r="D75" i="1" s="1"/>
  <c r="D77" i="1" s="1"/>
  <c r="B75" i="1"/>
  <c r="C37" i="1"/>
  <c r="E28" i="1"/>
  <c r="E37" i="1" l="1"/>
  <c r="C39" i="1"/>
  <c r="E39" i="1" s="1"/>
  <c r="C71" i="1"/>
  <c r="C73" i="1"/>
  <c r="B77" i="1"/>
  <c r="E73" i="1" l="1"/>
  <c r="C75" i="1"/>
  <c r="E75" i="1" s="1"/>
  <c r="E71" i="1"/>
  <c r="C77" i="1" l="1"/>
  <c r="E77" i="1" s="1"/>
</calcChain>
</file>

<file path=xl/sharedStrings.xml><?xml version="1.0" encoding="utf-8"?>
<sst xmlns="http://schemas.openxmlformats.org/spreadsheetml/2006/main" count="107" uniqueCount="102">
  <si>
    <t>On-Campus, Instruction 42%</t>
    <phoneticPr fontId="0" type="noConversion"/>
  </si>
  <si>
    <t>Other Sponsored Projects 26%</t>
    <phoneticPr fontId="0" type="noConversion"/>
  </si>
  <si>
    <t>Agency Approving F&amp;A Rate:  DHHS</t>
    <phoneticPr fontId="0" type="noConversion"/>
  </si>
  <si>
    <t>Phone Number:  415-437-7820</t>
    <phoneticPr fontId="0" type="noConversion"/>
  </si>
  <si>
    <t>Indirect Costs  (Use Chart Below)</t>
    <phoneticPr fontId="0" type="noConversion"/>
  </si>
  <si>
    <t>*Modified Total Direct Costs are direct costs minus such items as tuition, permanent equipment costing over $5000</t>
  </si>
  <si>
    <t>Yearly escalation factor of 3% for salaries</t>
    <phoneticPr fontId="0" type="noConversion"/>
  </si>
  <si>
    <t xml:space="preserve"> -- Stipends</t>
  </si>
  <si>
    <t xml:space="preserve"> -- Travel</t>
  </si>
  <si>
    <t xml:space="preserve"> -- Subsistence</t>
  </si>
  <si>
    <t xml:space="preserve"> -- Other</t>
  </si>
  <si>
    <t>Participant Support Costs:</t>
  </si>
  <si>
    <t>TOTAL, Salary &amp; Fringe</t>
  </si>
  <si>
    <t>up to $25k of subcontract is subject to University F&amp;A</t>
  </si>
  <si>
    <t xml:space="preserve">F&amp;A Rates </t>
    <phoneticPr fontId="0" type="noConversion"/>
  </si>
  <si>
    <t>Off-campus 26%</t>
    <phoneticPr fontId="0" type="noConversion"/>
  </si>
  <si>
    <t>Professional Staff and Faculty, part-time &lt;.50 FTE (not PRA) (8%)</t>
    <phoneticPr fontId="0" type="noConversion"/>
  </si>
  <si>
    <t>Other Personnel</t>
  </si>
  <si>
    <t>Classified Staff</t>
  </si>
  <si>
    <t>Fringe Benefits</t>
  </si>
  <si>
    <t>Travel</t>
  </si>
  <si>
    <t>Domestic</t>
  </si>
  <si>
    <t>Foreign</t>
  </si>
  <si>
    <t>Materials and Supplies</t>
  </si>
  <si>
    <t>Consultants</t>
  </si>
  <si>
    <t>Subcontract</t>
  </si>
  <si>
    <t>Computer Software</t>
  </si>
  <si>
    <t>Rental Equipment Fees</t>
  </si>
  <si>
    <t>Other</t>
  </si>
  <si>
    <t>Other Direct Costs (included in MTDC)</t>
  </si>
  <si>
    <t>Other Direct Costs (not included in MTDC)</t>
  </si>
  <si>
    <t>Capital Expenditures</t>
  </si>
  <si>
    <t>Rental Costs</t>
  </si>
  <si>
    <t>Stipends</t>
  </si>
  <si>
    <t>Year 1</t>
  </si>
  <si>
    <t>Year 2</t>
  </si>
  <si>
    <t>TOTAL</t>
  </si>
  <si>
    <t>TOTAL, Other Direct Costs (not in MTDC)</t>
  </si>
  <si>
    <t>TOTAL, Other Direct Costs (in MTDC)</t>
  </si>
  <si>
    <t>TOTAL, Travel Costs</t>
  </si>
  <si>
    <t>TOTAL, Fringe Benefits</t>
  </si>
  <si>
    <t>TOTAL, Salaries of Other Personnel</t>
  </si>
  <si>
    <t>TOTAL, Senior Personnel Salaries</t>
  </si>
  <si>
    <t>Total Direct Costs</t>
  </si>
  <si>
    <t>TOTAL PROJECT COSTS</t>
  </si>
  <si>
    <t>Publication/Page Charges/Dissemination</t>
  </si>
  <si>
    <t>Modified Total Direct Costs (MTDC)*</t>
  </si>
  <si>
    <t>Classified Staff (39%)</t>
  </si>
  <si>
    <t>Professional Staff, part-time &lt; .50 FTE (PRA ONLY) (9%)</t>
  </si>
  <si>
    <t>Hourly Employees and Classified Temporary (Non-Students) (18%)</t>
  </si>
  <si>
    <t>Hourly Employees and Classified Temporary</t>
  </si>
  <si>
    <t>PRA, less than 50% time</t>
  </si>
  <si>
    <t>Part-time faculty, less than 50% time</t>
  </si>
  <si>
    <t>Senior Personnel - Downtown Campus</t>
  </si>
  <si>
    <t>Subcontract over $25,000</t>
  </si>
  <si>
    <t>Post Doctoral Fellow - 19%</t>
  </si>
  <si>
    <t>Year 3</t>
  </si>
  <si>
    <t>07/01/2016 - 06/30/2020        55.5%</t>
  </si>
  <si>
    <t>Date Approved:  03/08/2016</t>
  </si>
  <si>
    <t>Contact: Jeanette Lu</t>
  </si>
  <si>
    <t>Tuition - 5% increase as per Colorado Governor's report on tuition hikes 01/2015 - NOTE: PLEASE PUT FEES ON LINE 70 AS THEY INCREASE AT A DIFFERENT RATE</t>
  </si>
  <si>
    <t>Student Fees - 3% increase</t>
  </si>
  <si>
    <t>Department:  Physics</t>
  </si>
  <si>
    <t>CY Contract (12 mo.)</t>
  </si>
  <si>
    <t>AY Contract (9 mo.)</t>
  </si>
  <si>
    <t># Students</t>
  </si>
  <si>
    <t>Hours/week</t>
  </si>
  <si>
    <t>Weeks</t>
  </si>
  <si>
    <t>Wage</t>
  </si>
  <si>
    <t>Graduate Assistant(s) (Enrolled) (SA-VI, $18.00) (m students, n hours/week, r weeks, w $/hour)</t>
  </si>
  <si>
    <t>Graduate Assistant(s) (Unenrolled - summer)  (SA-VI, $18.00) (m students, n hours/week, r weeks, w $/hour)</t>
  </si>
  <si>
    <t>Undergraduate Assistant(s) (Enrolled) (SA-III, $12.50) (m students, n hours/week, r weeks, w $/hour)</t>
  </si>
  <si>
    <t>Undergraduate Assistant(s) (Unenrolled - summer) (SA-III, $12.50) (m students, n hours/week, r weeks, w $/hour)</t>
  </si>
  <si>
    <t>(in Y2 wages, not escalated first year)</t>
  </si>
  <si>
    <t>35% Y1, 30% Y2 + Y3</t>
  </si>
  <si>
    <t>(AY2017-2018)</t>
  </si>
  <si>
    <t>16.667% (2 months) Y1, Y2, Y3</t>
  </si>
  <si>
    <t>P.I. (Roberts) - Acad Yr - 10% (course release)</t>
  </si>
  <si>
    <t>P.I. (Roberts) - Acad Yr</t>
  </si>
  <si>
    <t>P.I. (Roberts) - Summer - 1 mo.</t>
  </si>
  <si>
    <t>Post-Doctoral Fellow</t>
  </si>
  <si>
    <t xml:space="preserve">Permanent Equipment (over $5,000) </t>
  </si>
  <si>
    <t>Laptops for students, laptop replacements, broadcast accessories</t>
  </si>
  <si>
    <t>CLAS fee per credit hour</t>
  </si>
  <si>
    <t>fees per semester</t>
  </si>
  <si>
    <t>credit hours</t>
  </si>
  <si>
    <t>Principal Investigator(s): Amy L. Roberts</t>
  </si>
  <si>
    <t>Project Title:  Elements: Improving tools based on data-description standards for gigabyte-scale data sets</t>
  </si>
  <si>
    <t>cost per credit hour</t>
  </si>
  <si>
    <t>" A computing device is considered a supply if the acquisition cost is less than the lesser of the capitalization level established by the proposer or $5,000, regardless of the length of its useful life. In the specific case of computing devices, charging as a direct cost is allowable for devices that are essential and allocable, but not solely dedicated, to the performance of the NSF project."</t>
  </si>
  <si>
    <t>Project Period:  11/1/2019-10/30/2022</t>
  </si>
  <si>
    <t>Faculty (29.52%) -  appointment greater than 50%</t>
  </si>
  <si>
    <t>Professional Staff  (37.49%) - appointment greater than 50%</t>
  </si>
  <si>
    <t>Students Enrolled (.53%)</t>
  </si>
  <si>
    <t>Students Unenrolled (.53%)</t>
  </si>
  <si>
    <t>health insurance*</t>
  </si>
  <si>
    <t xml:space="preserve">*Because Health Insurance is not required of all students, it is not part of the </t>
  </si>
  <si>
    <t xml:space="preserve">student fees. If you wish to pay this for the student, we can put this amount on a </t>
  </si>
  <si>
    <t>different line and it will garner indirect costs. I've put it on line 54.</t>
  </si>
  <si>
    <t>If you choose to keep this expense, I'll provide guidance on how to put it into the</t>
  </si>
  <si>
    <t xml:space="preserve">budget justification. </t>
  </si>
  <si>
    <t>Full Time Professional Staff (Full Time PRA)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</si>
</sst>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;[Red]\-&quot;$&quot;#,##0.00"/>
    <numFmt numFmtId="165" formatCode="&quot;$&quot;#,##0.00"/>
    <numFmt numFmtId="166" formatCode="&quot;$&quot;#,##0"/>
    <numFmt numFmtId="167" formatCode="&quot;$&quot;#,##0.0"/>
  </numFmts>
  <fonts count="10" x14ac:knownFonts="1">
    <font>
      <sz val="10"/>
      <name val="Arial"/>
    </font>
    <font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3" fillId="0" borderId="0" xfId="0" applyNumberFormat="1" applyFont="1"/>
    <xf numFmtId="0" fontId="6" fillId="0" borderId="0" xfId="0" applyFont="1"/>
    <xf numFmtId="166" fontId="3" fillId="0" borderId="0" xfId="0" applyNumberFormat="1" applyFont="1"/>
    <xf numFmtId="166" fontId="6" fillId="0" borderId="0" xfId="0" applyNumberFormat="1" applyFont="1"/>
    <xf numFmtId="0" fontId="7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0" xfId="0" applyFill="1"/>
    <xf numFmtId="166" fontId="3" fillId="4" borderId="0" xfId="0" applyNumberFormat="1" applyFont="1" applyFill="1"/>
    <xf numFmtId="166" fontId="6" fillId="4" borderId="0" xfId="0" applyNumberFormat="1" applyFont="1" applyFill="1"/>
    <xf numFmtId="0" fontId="3" fillId="5" borderId="0" xfId="0" applyFont="1" applyFill="1" applyAlignment="1">
      <alignment wrapText="1"/>
    </xf>
    <xf numFmtId="166" fontId="3" fillId="5" borderId="0" xfId="0" applyNumberFormat="1" applyFont="1" applyFill="1"/>
    <xf numFmtId="164" fontId="0" fillId="3" borderId="0" xfId="0" applyNumberFormat="1" applyFill="1"/>
    <xf numFmtId="8" fontId="8" fillId="0" borderId="0" xfId="0" applyNumberFormat="1" applyFont="1"/>
    <xf numFmtId="165" fontId="0" fillId="0" borderId="0" xfId="0" applyNumberFormat="1"/>
    <xf numFmtId="166" fontId="0" fillId="0" borderId="0" xfId="0" applyNumberFormat="1"/>
    <xf numFmtId="8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  <xf numFmtId="8" fontId="2" fillId="0" borderId="0" xfId="0" applyNumberFormat="1" applyFont="1"/>
    <xf numFmtId="167" fontId="9" fillId="0" borderId="0" xfId="0" applyNumberFormat="1" applyFont="1"/>
    <xf numFmtId="0" fontId="9" fillId="0" borderId="0" xfId="0" applyFont="1"/>
    <xf numFmtId="0" fontId="3" fillId="6" borderId="0" xfId="0" applyFont="1" applyFill="1"/>
    <xf numFmtId="166" fontId="3" fillId="6" borderId="0" xfId="0" applyNumberFormat="1" applyFont="1" applyFill="1"/>
    <xf numFmtId="0" fontId="0" fillId="6" borderId="0" xfId="0" applyFill="1"/>
    <xf numFmtId="0" fontId="3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"/>
  <sheetViews>
    <sheetView tabSelected="1" topLeftCell="A12" zoomScaleNormal="100" zoomScalePageLayoutView="125" workbookViewId="0">
      <selection activeCell="B15" sqref="B15"/>
    </sheetView>
  </sheetViews>
  <sheetFormatPr defaultColWidth="8.796875" defaultRowHeight="12.75" x14ac:dyDescent="0.35"/>
  <cols>
    <col min="1" max="1" width="69.796875" customWidth="1"/>
    <col min="2" max="5" width="11.6640625" customWidth="1"/>
    <col min="6" max="7" width="10.46484375" bestFit="1" customWidth="1"/>
    <col min="8" max="8" width="38.1328125" bestFit="1" customWidth="1"/>
    <col min="10" max="10" width="9.6640625" bestFit="1" customWidth="1"/>
    <col min="11" max="11" width="17.1328125" bestFit="1" customWidth="1"/>
    <col min="12" max="12" width="17" bestFit="1" customWidth="1"/>
  </cols>
  <sheetData>
    <row r="1" spans="1:12" ht="13.9" x14ac:dyDescent="0.4">
      <c r="A1" s="4" t="s">
        <v>86</v>
      </c>
      <c r="B1" s="3"/>
      <c r="C1" s="3"/>
      <c r="D1" s="3"/>
      <c r="E1" s="3"/>
    </row>
    <row r="2" spans="1:12" ht="13.9" x14ac:dyDescent="0.4">
      <c r="A2" s="4" t="s">
        <v>62</v>
      </c>
      <c r="B2" s="3"/>
      <c r="C2" s="3"/>
      <c r="D2" s="3"/>
      <c r="E2" s="3"/>
    </row>
    <row r="3" spans="1:12" ht="13.9" x14ac:dyDescent="0.4">
      <c r="A3" s="4" t="s">
        <v>90</v>
      </c>
      <c r="B3" s="3"/>
      <c r="C3" s="3"/>
      <c r="D3" s="3"/>
      <c r="E3" s="3"/>
    </row>
    <row r="4" spans="1:12" ht="13.9" x14ac:dyDescent="0.4">
      <c r="A4" s="4" t="s">
        <v>87</v>
      </c>
      <c r="B4" s="3"/>
      <c r="C4" s="3"/>
      <c r="D4" s="3"/>
      <c r="E4" s="3"/>
    </row>
    <row r="5" spans="1:12" ht="13.5" x14ac:dyDescent="0.35">
      <c r="A5" s="3"/>
      <c r="B5" s="3"/>
      <c r="C5" s="3"/>
      <c r="D5" s="3"/>
      <c r="E5" s="3"/>
    </row>
    <row r="6" spans="1:12" ht="13.9" x14ac:dyDescent="0.4">
      <c r="A6" s="3"/>
      <c r="B6" s="5" t="s">
        <v>34</v>
      </c>
      <c r="C6" s="5" t="s">
        <v>35</v>
      </c>
      <c r="D6" s="5" t="s">
        <v>56</v>
      </c>
      <c r="E6" s="5" t="s">
        <v>36</v>
      </c>
      <c r="K6" s="16" t="s">
        <v>64</v>
      </c>
    </row>
    <row r="7" spans="1:12" ht="13.9" x14ac:dyDescent="0.4">
      <c r="A7" s="6" t="s">
        <v>53</v>
      </c>
      <c r="B7" s="7"/>
      <c r="C7" s="7"/>
      <c r="D7" s="7"/>
      <c r="E7" s="7"/>
      <c r="K7" t="s">
        <v>75</v>
      </c>
    </row>
    <row r="8" spans="1:12" ht="13.5" x14ac:dyDescent="0.35">
      <c r="A8" s="20" t="s">
        <v>77</v>
      </c>
      <c r="B8" s="21">
        <f>$K8*1.03*10%*0</f>
        <v>0</v>
      </c>
      <c r="C8" s="21">
        <f>$K8*1.03*1.03*10%*0</f>
        <v>0</v>
      </c>
      <c r="D8" s="21">
        <f>$K8*1.03*1.03*1.03*10%*1</f>
        <v>7321.2709000000004</v>
      </c>
      <c r="E8" s="18">
        <f t="shared" ref="E8:E11" si="0">SUM(B8:D8)</f>
        <v>7321.2709000000004</v>
      </c>
      <c r="F8" s="25"/>
      <c r="K8" s="17">
        <v>67000</v>
      </c>
    </row>
    <row r="9" spans="1:12" ht="13.5" x14ac:dyDescent="0.35">
      <c r="A9" s="3" t="s">
        <v>78</v>
      </c>
      <c r="B9" s="9">
        <f>K9*0/10</f>
        <v>0</v>
      </c>
      <c r="C9" s="9">
        <f t="shared" ref="C9:D10" si="1">B9*1.03</f>
        <v>0</v>
      </c>
      <c r="D9" s="9">
        <f t="shared" si="1"/>
        <v>0</v>
      </c>
      <c r="E9" s="18">
        <f t="shared" si="0"/>
        <v>0</v>
      </c>
      <c r="K9" s="17">
        <v>67000</v>
      </c>
    </row>
    <row r="10" spans="1:12" ht="13.5" x14ac:dyDescent="0.35">
      <c r="A10" s="32" t="s">
        <v>79</v>
      </c>
      <c r="B10" s="33">
        <f>((K9*1.03)/9)*0.5</f>
        <v>3833.8888888888887</v>
      </c>
      <c r="C10" s="33">
        <f t="shared" si="1"/>
        <v>3948.9055555555556</v>
      </c>
      <c r="D10" s="33">
        <f t="shared" si="1"/>
        <v>4067.3727222222224</v>
      </c>
      <c r="E10" s="33">
        <f t="shared" si="0"/>
        <v>11850.167166666666</v>
      </c>
      <c r="F10" s="25"/>
    </row>
    <row r="11" spans="1:12" ht="13.9" x14ac:dyDescent="0.4">
      <c r="A11" s="8" t="s">
        <v>42</v>
      </c>
      <c r="B11" s="19">
        <f>SUM(B8:B10)</f>
        <v>3833.8888888888887</v>
      </c>
      <c r="C11" s="19">
        <f>SUM(C8:C10)</f>
        <v>3948.9055555555556</v>
      </c>
      <c r="D11" s="19">
        <f>SUM(D8:D10)</f>
        <v>11388.643622222222</v>
      </c>
      <c r="E11" s="18">
        <f t="shared" si="0"/>
        <v>19171.438066666666</v>
      </c>
      <c r="F11" s="25"/>
    </row>
    <row r="12" spans="1:12" ht="13.5" x14ac:dyDescent="0.35">
      <c r="A12" s="3"/>
      <c r="B12" s="9"/>
      <c r="C12" s="9"/>
      <c r="D12" s="9"/>
      <c r="E12" s="9"/>
    </row>
    <row r="13" spans="1:12" ht="13.9" x14ac:dyDescent="0.4">
      <c r="A13" s="6" t="s">
        <v>17</v>
      </c>
      <c r="B13" s="9"/>
      <c r="C13" s="9"/>
      <c r="D13" s="9"/>
      <c r="E13" s="9"/>
      <c r="K13" t="s">
        <v>63</v>
      </c>
    </row>
    <row r="14" spans="1:12" ht="13.5" x14ac:dyDescent="0.35">
      <c r="A14" s="15" t="s">
        <v>101</v>
      </c>
      <c r="B14" s="9">
        <f>K14*0</f>
        <v>0</v>
      </c>
      <c r="C14" s="9">
        <f>K14*103%*0</f>
        <v>0</v>
      </c>
      <c r="D14" s="9">
        <f>K14*103%*103%*0</f>
        <v>0</v>
      </c>
      <c r="E14" s="18">
        <f t="shared" ref="E14:E25" si="2">SUM(B14:D14)</f>
        <v>0</v>
      </c>
      <c r="G14" s="25"/>
      <c r="K14" s="17">
        <v>57591</v>
      </c>
      <c r="L14" t="s">
        <v>74</v>
      </c>
    </row>
    <row r="15" spans="1:12" ht="13.5" x14ac:dyDescent="0.35">
      <c r="A15" s="15" t="s">
        <v>101</v>
      </c>
      <c r="B15" s="9">
        <f>K15*0.8</f>
        <v>32000</v>
      </c>
      <c r="C15" s="9">
        <f t="shared" ref="C15:D16" si="3">(B15*3%)+B15</f>
        <v>32960</v>
      </c>
      <c r="D15" s="9">
        <f t="shared" si="3"/>
        <v>33948.800000000003</v>
      </c>
      <c r="E15" s="18">
        <f t="shared" si="2"/>
        <v>98908.800000000003</v>
      </c>
      <c r="H15" s="31"/>
      <c r="I15" s="25"/>
      <c r="K15" s="17">
        <v>40000</v>
      </c>
      <c r="L15" t="s">
        <v>76</v>
      </c>
    </row>
    <row r="16" spans="1:12" ht="13.5" x14ac:dyDescent="0.35">
      <c r="A16" s="15" t="s">
        <v>51</v>
      </c>
      <c r="B16" s="9">
        <v>0</v>
      </c>
      <c r="C16" s="9">
        <f t="shared" si="3"/>
        <v>0</v>
      </c>
      <c r="D16" s="9">
        <f t="shared" si="3"/>
        <v>0</v>
      </c>
      <c r="E16" s="18">
        <f t="shared" si="2"/>
        <v>0</v>
      </c>
    </row>
    <row r="17" spans="1:14" ht="13.5" x14ac:dyDescent="0.35">
      <c r="A17" s="15" t="s">
        <v>52</v>
      </c>
      <c r="B17" s="9">
        <v>0</v>
      </c>
      <c r="C17" s="9">
        <f>(B17*3%)+B17</f>
        <v>0</v>
      </c>
      <c r="D17" s="9">
        <f t="shared" ref="D17" si="4">(C17*3%)+C17</f>
        <v>0</v>
      </c>
      <c r="E17" s="18">
        <f t="shared" si="2"/>
        <v>0</v>
      </c>
    </row>
    <row r="18" spans="1:14" ht="13.5" x14ac:dyDescent="0.35">
      <c r="A18" s="15" t="s">
        <v>80</v>
      </c>
      <c r="B18" s="9">
        <f>K18*0</f>
        <v>0</v>
      </c>
      <c r="C18" s="9">
        <f>B18*1.03</f>
        <v>0</v>
      </c>
      <c r="D18" s="9">
        <f>C18*1.03</f>
        <v>0</v>
      </c>
      <c r="E18" s="18">
        <f t="shared" si="2"/>
        <v>0</v>
      </c>
      <c r="F18" s="30"/>
      <c r="G18" s="30"/>
      <c r="K18" s="17">
        <v>474484</v>
      </c>
      <c r="L18" t="s">
        <v>73</v>
      </c>
    </row>
    <row r="19" spans="1:14" ht="13.5" x14ac:dyDescent="0.35">
      <c r="A19" s="3" t="s">
        <v>18</v>
      </c>
      <c r="B19" s="9">
        <v>0</v>
      </c>
      <c r="C19" s="9">
        <f t="shared" ref="C19:D24" si="5">(B19*3%)+B19</f>
        <v>0</v>
      </c>
      <c r="D19" s="9">
        <f>(C19*3%)+C19</f>
        <v>0</v>
      </c>
      <c r="E19" s="18">
        <f t="shared" si="2"/>
        <v>0</v>
      </c>
    </row>
    <row r="20" spans="1:14" ht="13.5" x14ac:dyDescent="0.35">
      <c r="A20" s="3" t="s">
        <v>50</v>
      </c>
      <c r="B20" s="9">
        <v>0</v>
      </c>
      <c r="C20" s="9">
        <f t="shared" si="5"/>
        <v>0</v>
      </c>
      <c r="D20" s="9">
        <f t="shared" si="5"/>
        <v>0</v>
      </c>
      <c r="E20" s="18">
        <f t="shared" si="2"/>
        <v>0</v>
      </c>
      <c r="K20" t="s">
        <v>65</v>
      </c>
      <c r="L20" t="s">
        <v>66</v>
      </c>
      <c r="M20" t="s">
        <v>67</v>
      </c>
      <c r="N20" t="s">
        <v>68</v>
      </c>
    </row>
    <row r="21" spans="1:14" ht="13.5" x14ac:dyDescent="0.35">
      <c r="A21" s="3" t="s">
        <v>69</v>
      </c>
      <c r="B21" s="9">
        <f>K21*L21*M21*N21</f>
        <v>17280</v>
      </c>
      <c r="C21" s="9">
        <f t="shared" si="5"/>
        <v>17798.400000000001</v>
      </c>
      <c r="D21" s="9">
        <f t="shared" si="5"/>
        <v>18332.352000000003</v>
      </c>
      <c r="E21" s="18">
        <f t="shared" si="2"/>
        <v>53410.752000000008</v>
      </c>
      <c r="K21" s="17">
        <v>2</v>
      </c>
      <c r="L21" s="17">
        <v>15</v>
      </c>
      <c r="M21" s="17">
        <v>32</v>
      </c>
      <c r="N21" s="22">
        <v>18</v>
      </c>
    </row>
    <row r="22" spans="1:14" ht="13.5" x14ac:dyDescent="0.35">
      <c r="A22" s="3" t="s">
        <v>70</v>
      </c>
      <c r="B22" s="9">
        <f>K22*L22*M22*N22</f>
        <v>12960</v>
      </c>
      <c r="C22" s="9">
        <f t="shared" si="5"/>
        <v>13348.8</v>
      </c>
      <c r="D22" s="9">
        <f t="shared" si="5"/>
        <v>13749.263999999999</v>
      </c>
      <c r="E22" s="18">
        <f t="shared" si="2"/>
        <v>40058.063999999998</v>
      </c>
      <c r="K22" s="17">
        <v>2</v>
      </c>
      <c r="L22" s="17">
        <v>30</v>
      </c>
      <c r="M22" s="17">
        <v>12</v>
      </c>
      <c r="N22" s="22">
        <v>18</v>
      </c>
    </row>
    <row r="23" spans="1:14" ht="13.5" x14ac:dyDescent="0.35">
      <c r="A23" s="3" t="s">
        <v>71</v>
      </c>
      <c r="B23" s="9">
        <f>K23*L23*M23*N23</f>
        <v>8000</v>
      </c>
      <c r="C23" s="9">
        <f t="shared" si="5"/>
        <v>8240</v>
      </c>
      <c r="D23" s="9">
        <f t="shared" si="5"/>
        <v>8487.2000000000007</v>
      </c>
      <c r="E23" s="18">
        <f t="shared" si="2"/>
        <v>24727.200000000001</v>
      </c>
      <c r="F23" s="25"/>
      <c r="K23" s="17">
        <v>2</v>
      </c>
      <c r="L23" s="17">
        <v>10</v>
      </c>
      <c r="M23" s="17">
        <v>32</v>
      </c>
      <c r="N23" s="22">
        <v>12.5</v>
      </c>
    </row>
    <row r="24" spans="1:14" ht="13.5" x14ac:dyDescent="0.35">
      <c r="A24" s="3" t="s">
        <v>72</v>
      </c>
      <c r="B24" s="9">
        <f>K24*L24*M24*N24</f>
        <v>9000</v>
      </c>
      <c r="C24" s="9">
        <f t="shared" si="5"/>
        <v>9270</v>
      </c>
      <c r="D24" s="9">
        <f t="shared" si="5"/>
        <v>9548.1</v>
      </c>
      <c r="E24" s="18">
        <f t="shared" si="2"/>
        <v>27818.1</v>
      </c>
      <c r="F24" s="25"/>
      <c r="K24" s="17">
        <v>2</v>
      </c>
      <c r="L24" s="17">
        <v>30</v>
      </c>
      <c r="M24" s="17">
        <v>12</v>
      </c>
      <c r="N24" s="22">
        <v>12.5</v>
      </c>
    </row>
    <row r="25" spans="1:14" s="2" customFormat="1" ht="13.9" x14ac:dyDescent="0.4">
      <c r="A25" s="8" t="s">
        <v>41</v>
      </c>
      <c r="B25" s="19">
        <f>SUM(B14:B24)</f>
        <v>79240</v>
      </c>
      <c r="C25" s="19">
        <f>SUM(C14:C24)</f>
        <v>81617.2</v>
      </c>
      <c r="D25" s="19">
        <f>SUM(D14:D24)</f>
        <v>84065.716</v>
      </c>
      <c r="E25" s="18">
        <f t="shared" si="2"/>
        <v>244922.91600000003</v>
      </c>
      <c r="G25" s="27"/>
    </row>
    <row r="26" spans="1:14" ht="13.5" x14ac:dyDescent="0.35">
      <c r="A26" s="3"/>
      <c r="B26" s="9"/>
      <c r="C26" s="9"/>
      <c r="D26" s="9"/>
      <c r="E26" s="9"/>
    </row>
    <row r="27" spans="1:14" ht="13.9" x14ac:dyDescent="0.4">
      <c r="A27" s="6" t="s">
        <v>19</v>
      </c>
      <c r="B27" s="9"/>
      <c r="C27" s="9"/>
      <c r="D27" s="9"/>
      <c r="E27" s="9"/>
    </row>
    <row r="28" spans="1:14" ht="13.5" x14ac:dyDescent="0.35">
      <c r="A28" s="32" t="s">
        <v>91</v>
      </c>
      <c r="B28" s="33">
        <f>B11*29.52%</f>
        <v>1131.7639999999999</v>
      </c>
      <c r="C28" s="33">
        <f>C11*29.52%</f>
        <v>1165.7169200000001</v>
      </c>
      <c r="D28" s="33">
        <f>D11*29.52%</f>
        <v>3361.9275972800001</v>
      </c>
      <c r="E28" s="33">
        <f t="shared" ref="E28:E37" si="6">SUM(B28:D28)</f>
        <v>5659.4085172800005</v>
      </c>
      <c r="F28" s="24"/>
    </row>
    <row r="29" spans="1:14" ht="13.5" x14ac:dyDescent="0.35">
      <c r="A29" s="32" t="s">
        <v>92</v>
      </c>
      <c r="B29" s="33">
        <f>SUM(B14+B15)*37.49%</f>
        <v>11996.800000000001</v>
      </c>
      <c r="C29" s="33">
        <f>SUM(C14+C15)*37.49%</f>
        <v>12356.704</v>
      </c>
      <c r="D29" s="33">
        <f>SUM(D14+D15)*37.49%</f>
        <v>12727.405120000001</v>
      </c>
      <c r="E29" s="33">
        <f t="shared" si="6"/>
        <v>37080.909120000004</v>
      </c>
      <c r="H29" s="31"/>
      <c r="I29" s="25"/>
      <c r="J29" s="24"/>
      <c r="L29" s="24"/>
      <c r="M29" s="24"/>
      <c r="N29" s="24"/>
    </row>
    <row r="30" spans="1:14" ht="13.5" x14ac:dyDescent="0.35">
      <c r="A30" s="3" t="s">
        <v>48</v>
      </c>
      <c r="B30" s="18">
        <f>B16*0.09</f>
        <v>0</v>
      </c>
      <c r="C30" s="18">
        <f>C16*0.09</f>
        <v>0</v>
      </c>
      <c r="D30" s="18">
        <f>D16*0.09</f>
        <v>0</v>
      </c>
      <c r="E30" s="18">
        <f t="shared" si="6"/>
        <v>0</v>
      </c>
      <c r="J30" s="24"/>
    </row>
    <row r="31" spans="1:14" ht="13.5" x14ac:dyDescent="0.35">
      <c r="A31" s="3" t="s">
        <v>16</v>
      </c>
      <c r="B31" s="18">
        <f>B17*0.08</f>
        <v>0</v>
      </c>
      <c r="C31" s="18">
        <f>C17*0.08</f>
        <v>0</v>
      </c>
      <c r="D31" s="18">
        <f>D17*0.08</f>
        <v>0</v>
      </c>
      <c r="E31" s="18">
        <f t="shared" si="6"/>
        <v>0</v>
      </c>
    </row>
    <row r="32" spans="1:14" ht="13.5" x14ac:dyDescent="0.35">
      <c r="A32" s="3" t="s">
        <v>55</v>
      </c>
      <c r="B32" s="18">
        <f>B18*0.19</f>
        <v>0</v>
      </c>
      <c r="C32" s="18">
        <f>C18*0.19</f>
        <v>0</v>
      </c>
      <c r="D32" s="18">
        <f>D18*0.19</f>
        <v>0</v>
      </c>
      <c r="E32" s="18">
        <f t="shared" si="6"/>
        <v>0</v>
      </c>
      <c r="F32" s="24"/>
      <c r="G32" s="24"/>
    </row>
    <row r="33" spans="1:11" ht="13.5" x14ac:dyDescent="0.35">
      <c r="A33" s="3" t="s">
        <v>47</v>
      </c>
      <c r="B33" s="18">
        <f>B19*30%</f>
        <v>0</v>
      </c>
      <c r="C33" s="18">
        <f>C19*30%</f>
        <v>0</v>
      </c>
      <c r="D33" s="18">
        <f>D19*30%</f>
        <v>0</v>
      </c>
      <c r="E33" s="18">
        <f t="shared" si="6"/>
        <v>0</v>
      </c>
    </row>
    <row r="34" spans="1:11" ht="13.5" x14ac:dyDescent="0.35">
      <c r="A34" s="15" t="s">
        <v>49</v>
      </c>
      <c r="B34" s="18">
        <f>B20*0.18</f>
        <v>0</v>
      </c>
      <c r="C34" s="18">
        <f>C20*0.18</f>
        <v>0</v>
      </c>
      <c r="D34" s="18">
        <f>D20*0.18</f>
        <v>0</v>
      </c>
      <c r="E34" s="18">
        <f t="shared" si="6"/>
        <v>0</v>
      </c>
    </row>
    <row r="35" spans="1:11" ht="13.5" x14ac:dyDescent="0.35">
      <c r="A35" s="32" t="s">
        <v>93</v>
      </c>
      <c r="B35" s="33">
        <f t="shared" ref="B35:D36" si="7">(B21+B23)*0.53%</f>
        <v>133.98400000000001</v>
      </c>
      <c r="C35" s="33">
        <f t="shared" si="7"/>
        <v>138.00352000000001</v>
      </c>
      <c r="D35" s="33">
        <f t="shared" si="7"/>
        <v>142.14362560000001</v>
      </c>
      <c r="E35" s="33">
        <f t="shared" si="6"/>
        <v>414.13114560000002</v>
      </c>
      <c r="F35" s="25"/>
    </row>
    <row r="36" spans="1:11" ht="13.5" x14ac:dyDescent="0.35">
      <c r="A36" s="32" t="s">
        <v>94</v>
      </c>
      <c r="B36" s="33">
        <f t="shared" si="7"/>
        <v>116.38800000000001</v>
      </c>
      <c r="C36" s="33">
        <f t="shared" si="7"/>
        <v>119.87963999999999</v>
      </c>
      <c r="D36" s="33">
        <f t="shared" si="7"/>
        <v>123.47602920000001</v>
      </c>
      <c r="E36" s="33">
        <f t="shared" si="6"/>
        <v>359.7436692</v>
      </c>
      <c r="F36" s="25"/>
    </row>
    <row r="37" spans="1:11" s="2" customFormat="1" ht="13.9" x14ac:dyDescent="0.4">
      <c r="A37" s="8" t="s">
        <v>40</v>
      </c>
      <c r="B37" s="19">
        <f>SUM(B28:B36)</f>
        <v>13378.936000000002</v>
      </c>
      <c r="C37" s="19">
        <f>SUM(C28:C36)</f>
        <v>13780.30408</v>
      </c>
      <c r="D37" s="19">
        <f>SUM(D28:D36)</f>
        <v>16354.952372080001</v>
      </c>
      <c r="E37" s="18">
        <f t="shared" si="6"/>
        <v>43514.192452080002</v>
      </c>
      <c r="F37" s="28"/>
      <c r="H37" s="28"/>
    </row>
    <row r="38" spans="1:11" s="2" customFormat="1" ht="13.9" x14ac:dyDescent="0.4">
      <c r="A38" s="8"/>
      <c r="B38" s="10"/>
      <c r="C38" s="10"/>
      <c r="D38" s="10"/>
      <c r="E38" s="9"/>
    </row>
    <row r="39" spans="1:11" s="2" customFormat="1" ht="13.9" x14ac:dyDescent="0.4">
      <c r="A39" s="6" t="s">
        <v>12</v>
      </c>
      <c r="B39" s="19">
        <f>SUM(B11,B25,B37)</f>
        <v>96452.824888888892</v>
      </c>
      <c r="C39" s="19">
        <f>SUM(C11,C25,C37)</f>
        <v>99346.409635555552</v>
      </c>
      <c r="D39" s="19">
        <f>SUM(D11,D25,D37)</f>
        <v>111809.31199430223</v>
      </c>
      <c r="E39" s="18">
        <f>SUM(B39:D39)</f>
        <v>307608.54651874665</v>
      </c>
      <c r="F39" s="28"/>
      <c r="G39" s="27"/>
      <c r="H39" s="28"/>
    </row>
    <row r="40" spans="1:11" ht="13.5" x14ac:dyDescent="0.35">
      <c r="A40" s="3"/>
      <c r="B40" s="9"/>
      <c r="C40" s="9"/>
      <c r="D40" s="9"/>
      <c r="E40" s="9"/>
    </row>
    <row r="41" spans="1:11" ht="13.9" x14ac:dyDescent="0.4">
      <c r="A41" s="6" t="s">
        <v>20</v>
      </c>
      <c r="B41" s="9"/>
      <c r="C41" s="9"/>
      <c r="D41" s="9"/>
      <c r="E41" s="9"/>
    </row>
    <row r="42" spans="1:11" ht="13.5" x14ac:dyDescent="0.35">
      <c r="A42" s="3" t="s">
        <v>21</v>
      </c>
      <c r="B42" s="23">
        <v>3220</v>
      </c>
      <c r="C42" s="23">
        <v>3220</v>
      </c>
      <c r="D42" s="23">
        <v>3220</v>
      </c>
      <c r="E42" s="18">
        <f>SUM(B42:D42)</f>
        <v>9660</v>
      </c>
      <c r="F42" s="26"/>
      <c r="G42" s="26"/>
    </row>
    <row r="43" spans="1:11" ht="13.5" x14ac:dyDescent="0.35">
      <c r="A43" s="3" t="s">
        <v>22</v>
      </c>
      <c r="B43" s="23"/>
      <c r="C43" s="23"/>
      <c r="D43" s="23"/>
      <c r="E43" s="18">
        <f>SUM(B43:D43)</f>
        <v>0</v>
      </c>
    </row>
    <row r="44" spans="1:11" s="2" customFormat="1" ht="13.9" x14ac:dyDescent="0.4">
      <c r="A44" s="8" t="s">
        <v>39</v>
      </c>
      <c r="B44" s="19">
        <f>SUM(B42:B43)</f>
        <v>3220</v>
      </c>
      <c r="C44" s="19">
        <f>SUM(C42:C43)</f>
        <v>3220</v>
      </c>
      <c r="D44" s="19">
        <f>SUM(D42:D43)</f>
        <v>3220</v>
      </c>
      <c r="E44" s="18">
        <f>SUM(B44:D44)</f>
        <v>9660</v>
      </c>
      <c r="F44" s="29"/>
      <c r="G44" s="29"/>
    </row>
    <row r="45" spans="1:11" ht="13.9" x14ac:dyDescent="0.4">
      <c r="A45" s="3"/>
      <c r="B45" s="5" t="s">
        <v>34</v>
      </c>
      <c r="C45" s="5" t="s">
        <v>35</v>
      </c>
      <c r="D45" s="5" t="s">
        <v>56</v>
      </c>
      <c r="E45" s="5" t="s">
        <v>36</v>
      </c>
    </row>
    <row r="46" spans="1:11" ht="13.9" x14ac:dyDescent="0.4">
      <c r="A46" s="6" t="s">
        <v>29</v>
      </c>
      <c r="B46" s="9"/>
      <c r="C46" s="9"/>
      <c r="D46" s="9"/>
      <c r="E46" s="9"/>
      <c r="K46" t="s">
        <v>89</v>
      </c>
    </row>
    <row r="47" spans="1:11" ht="13.5" x14ac:dyDescent="0.35">
      <c r="A47" s="3" t="s">
        <v>23</v>
      </c>
      <c r="B47" s="9">
        <v>2000</v>
      </c>
      <c r="C47" s="9">
        <v>4000</v>
      </c>
      <c r="D47" s="9">
        <v>4000</v>
      </c>
      <c r="E47" s="18">
        <f t="shared" ref="E47:E55" si="8">SUM(B47:D47)</f>
        <v>10000</v>
      </c>
      <c r="F47" s="25"/>
      <c r="K47" t="s">
        <v>82</v>
      </c>
    </row>
    <row r="48" spans="1:11" ht="13.5" x14ac:dyDescent="0.35">
      <c r="A48" s="3" t="s">
        <v>45</v>
      </c>
      <c r="B48" s="9"/>
      <c r="C48" s="9"/>
      <c r="D48" s="9"/>
      <c r="E48" s="18">
        <f>SUM(B48:D48)</f>
        <v>0</v>
      </c>
    </row>
    <row r="49" spans="1:7" ht="13.5" x14ac:dyDescent="0.35">
      <c r="A49" s="3" t="s">
        <v>24</v>
      </c>
      <c r="B49" s="9"/>
      <c r="C49" s="9"/>
      <c r="D49" s="9"/>
      <c r="E49" s="18">
        <f t="shared" si="8"/>
        <v>0</v>
      </c>
    </row>
    <row r="50" spans="1:7" ht="13.5" x14ac:dyDescent="0.35">
      <c r="A50" s="3" t="s">
        <v>25</v>
      </c>
      <c r="B50" s="9"/>
      <c r="C50" s="9"/>
      <c r="D50" s="9"/>
      <c r="E50" s="18">
        <f t="shared" si="8"/>
        <v>0</v>
      </c>
    </row>
    <row r="51" spans="1:7" ht="13.5" x14ac:dyDescent="0.35">
      <c r="A51" s="3" t="s">
        <v>54</v>
      </c>
      <c r="B51" s="9"/>
      <c r="C51" s="9"/>
      <c r="D51" s="9"/>
      <c r="E51" s="18">
        <f t="shared" si="8"/>
        <v>0</v>
      </c>
    </row>
    <row r="52" spans="1:7" ht="13.5" x14ac:dyDescent="0.35">
      <c r="A52" s="3" t="s">
        <v>26</v>
      </c>
      <c r="B52" s="9">
        <v>600</v>
      </c>
      <c r="C52" s="9">
        <v>600</v>
      </c>
      <c r="D52" s="9">
        <v>600</v>
      </c>
      <c r="E52" s="18">
        <f t="shared" si="8"/>
        <v>1800</v>
      </c>
      <c r="F52" s="25"/>
    </row>
    <row r="53" spans="1:7" ht="13.5" x14ac:dyDescent="0.35">
      <c r="A53" s="3" t="s">
        <v>27</v>
      </c>
      <c r="B53" s="9"/>
      <c r="C53" s="9"/>
      <c r="D53" s="9"/>
      <c r="E53" s="18">
        <f t="shared" si="8"/>
        <v>0</v>
      </c>
    </row>
    <row r="54" spans="1:7" ht="13.5" x14ac:dyDescent="0.35">
      <c r="A54" s="32" t="s">
        <v>28</v>
      </c>
      <c r="B54" s="33">
        <f>2350</f>
        <v>2350</v>
      </c>
      <c r="C54" s="33">
        <f>B54*1.1</f>
        <v>2585</v>
      </c>
      <c r="D54" s="33">
        <f>C54*1.1</f>
        <v>2843.5000000000005</v>
      </c>
      <c r="E54" s="18">
        <f t="shared" si="8"/>
        <v>7778.5</v>
      </c>
    </row>
    <row r="55" spans="1:7" s="2" customFormat="1" ht="13.9" x14ac:dyDescent="0.4">
      <c r="A55" s="8" t="s">
        <v>38</v>
      </c>
      <c r="B55" s="19">
        <f>SUM(B47:B54)</f>
        <v>4950</v>
      </c>
      <c r="C55" s="19">
        <f>SUM(C47:C54)</f>
        <v>7185</v>
      </c>
      <c r="D55" s="19">
        <f>SUM(D47:D54)</f>
        <v>7443.5</v>
      </c>
      <c r="E55" s="18">
        <f t="shared" si="8"/>
        <v>19578.5</v>
      </c>
      <c r="F55" s="27"/>
    </row>
    <row r="56" spans="1:7" s="2" customFormat="1" ht="13.9" x14ac:dyDescent="0.4">
      <c r="A56" s="3"/>
      <c r="B56" s="10"/>
      <c r="C56" s="10"/>
      <c r="D56" s="10"/>
      <c r="E56" s="10"/>
    </row>
    <row r="57" spans="1:7" ht="13.9" x14ac:dyDescent="0.4">
      <c r="A57" s="6" t="s">
        <v>30</v>
      </c>
      <c r="B57" s="9"/>
      <c r="C57" s="9"/>
      <c r="D57" s="9"/>
      <c r="E57" s="9"/>
    </row>
    <row r="58" spans="1:7" ht="13.5" x14ac:dyDescent="0.35">
      <c r="A58" s="15" t="s">
        <v>81</v>
      </c>
      <c r="B58" s="9">
        <v>12204</v>
      </c>
      <c r="C58" s="9"/>
      <c r="D58" s="9"/>
      <c r="E58" s="18">
        <f t="shared" ref="E58:E69" si="9">SUM(B58:D58)</f>
        <v>12204</v>
      </c>
      <c r="G58" s="25"/>
    </row>
    <row r="59" spans="1:7" ht="13.5" x14ac:dyDescent="0.35">
      <c r="A59" s="3" t="s">
        <v>31</v>
      </c>
      <c r="B59" s="9"/>
      <c r="C59" s="9"/>
      <c r="D59" s="9"/>
      <c r="E59" s="18">
        <f t="shared" si="9"/>
        <v>0</v>
      </c>
    </row>
    <row r="60" spans="1:7" ht="13.5" x14ac:dyDescent="0.35">
      <c r="A60" s="3" t="s">
        <v>32</v>
      </c>
      <c r="B60" s="9"/>
      <c r="C60" s="9"/>
      <c r="D60" s="9"/>
      <c r="E60" s="18">
        <f t="shared" si="9"/>
        <v>0</v>
      </c>
    </row>
    <row r="61" spans="1:7" ht="13.5" x14ac:dyDescent="0.35">
      <c r="A61" s="3" t="s">
        <v>11</v>
      </c>
      <c r="B61" s="9"/>
      <c r="C61" s="9"/>
      <c r="D61" s="9"/>
      <c r="E61" s="18">
        <f t="shared" si="9"/>
        <v>0</v>
      </c>
    </row>
    <row r="62" spans="1:7" ht="13.5" x14ac:dyDescent="0.35">
      <c r="A62" s="3" t="s">
        <v>7</v>
      </c>
      <c r="B62" s="9"/>
      <c r="C62" s="9"/>
      <c r="D62" s="9"/>
      <c r="E62" s="18">
        <f>SUM(B62:D62)</f>
        <v>0</v>
      </c>
    </row>
    <row r="63" spans="1:7" ht="13.5" x14ac:dyDescent="0.35">
      <c r="A63" s="3" t="s">
        <v>8</v>
      </c>
      <c r="B63" s="9">
        <v>7000</v>
      </c>
      <c r="C63" s="9">
        <v>7000</v>
      </c>
      <c r="D63" s="9">
        <v>7000</v>
      </c>
      <c r="E63" s="18">
        <f t="shared" si="9"/>
        <v>21000</v>
      </c>
    </row>
    <row r="64" spans="1:7" ht="13.5" x14ac:dyDescent="0.35">
      <c r="A64" s="3" t="s">
        <v>9</v>
      </c>
      <c r="B64" s="9">
        <v>2000</v>
      </c>
      <c r="C64" s="9">
        <v>2000</v>
      </c>
      <c r="D64" s="9">
        <v>2000</v>
      </c>
      <c r="E64" s="18">
        <f t="shared" si="9"/>
        <v>6000</v>
      </c>
    </row>
    <row r="65" spans="1:14" ht="13.5" x14ac:dyDescent="0.35">
      <c r="A65" s="3" t="s">
        <v>10</v>
      </c>
      <c r="B65" s="9">
        <v>1000</v>
      </c>
      <c r="C65" s="9">
        <v>1000</v>
      </c>
      <c r="D65" s="9">
        <v>1000</v>
      </c>
      <c r="E65" s="18">
        <f t="shared" si="9"/>
        <v>3000</v>
      </c>
      <c r="K65" t="s">
        <v>85</v>
      </c>
      <c r="L65" t="s">
        <v>88</v>
      </c>
    </row>
    <row r="66" spans="1:14" ht="40.5" x14ac:dyDescent="0.35">
      <c r="A66" s="35" t="s">
        <v>60</v>
      </c>
      <c r="B66" s="33">
        <f>2*K66*L66</f>
        <v>8952</v>
      </c>
      <c r="C66" s="33">
        <f>B66*1.05</f>
        <v>9399.6</v>
      </c>
      <c r="D66" s="33">
        <f>C66*1.05</f>
        <v>9869.58</v>
      </c>
      <c r="E66" s="18">
        <f t="shared" si="9"/>
        <v>28221.18</v>
      </c>
      <c r="K66">
        <v>12</v>
      </c>
      <c r="L66">
        <v>373</v>
      </c>
    </row>
    <row r="67" spans="1:14" ht="13.5" x14ac:dyDescent="0.35">
      <c r="A67" s="3" t="s">
        <v>33</v>
      </c>
      <c r="B67" s="9">
        <v>0</v>
      </c>
      <c r="C67" s="9">
        <f>B67*1.03</f>
        <v>0</v>
      </c>
      <c r="D67" s="9">
        <f>C67*1.03</f>
        <v>0</v>
      </c>
      <c r="E67" s="18">
        <f t="shared" si="9"/>
        <v>0</v>
      </c>
      <c r="K67" s="34" t="s">
        <v>84</v>
      </c>
      <c r="L67" s="34" t="s">
        <v>95</v>
      </c>
      <c r="M67" s="34" t="s">
        <v>83</v>
      </c>
      <c r="N67" s="34"/>
    </row>
    <row r="68" spans="1:14" ht="13.5" x14ac:dyDescent="0.35">
      <c r="A68" s="32" t="s">
        <v>61</v>
      </c>
      <c r="B68" s="33">
        <f>2*K68+(K66*M68)</f>
        <v>1406.2800000000002</v>
      </c>
      <c r="C68" s="33">
        <f>B68*1.03</f>
        <v>1448.4684000000002</v>
      </c>
      <c r="D68" s="33">
        <f>C68*1.03</f>
        <v>1491.9224520000002</v>
      </c>
      <c r="E68" s="18">
        <f t="shared" si="9"/>
        <v>4346.6708520000011</v>
      </c>
      <c r="K68" s="34">
        <f>83.88+5.3+24+3+67.83+102+5.35+210</f>
        <v>501.36</v>
      </c>
      <c r="L68" s="34">
        <v>2350</v>
      </c>
      <c r="M68" s="34">
        <f>11.63+2+8+12</f>
        <v>33.630000000000003</v>
      </c>
      <c r="N68" s="34"/>
    </row>
    <row r="69" spans="1:14" ht="13.9" x14ac:dyDescent="0.4">
      <c r="A69" s="8" t="s">
        <v>37</v>
      </c>
      <c r="B69" s="19">
        <f>SUM(B58:B68)</f>
        <v>32562.28</v>
      </c>
      <c r="C69" s="19">
        <f>SUM(C58:C68)</f>
        <v>20848.0684</v>
      </c>
      <c r="D69" s="19">
        <f>SUM(D58:D68)</f>
        <v>21361.502452000001</v>
      </c>
      <c r="E69" s="18">
        <f t="shared" si="9"/>
        <v>74771.850852000003</v>
      </c>
      <c r="G69" s="25"/>
    </row>
    <row r="70" spans="1:14" ht="13.5" x14ac:dyDescent="0.35">
      <c r="A70" s="3"/>
      <c r="B70" s="9"/>
      <c r="C70" s="9"/>
      <c r="D70" s="9"/>
      <c r="E70" s="9"/>
      <c r="J70" t="s">
        <v>96</v>
      </c>
    </row>
    <row r="71" spans="1:14" ht="13.5" x14ac:dyDescent="0.35">
      <c r="A71" s="3" t="s">
        <v>46</v>
      </c>
      <c r="B71" s="18">
        <f>B11+B25+B37+B44+B55-B51</f>
        <v>104622.82488888889</v>
      </c>
      <c r="C71" s="18">
        <f>C11+C25+C37+C44+C55-C51</f>
        <v>109751.40963555555</v>
      </c>
      <c r="D71" s="18">
        <f>D11+D25+D37+D44+D55-D51</f>
        <v>122472.81199430223</v>
      </c>
      <c r="E71" s="18">
        <f>SUM(B71:D71)</f>
        <v>336847.04651874665</v>
      </c>
      <c r="F71" s="25"/>
      <c r="G71" s="25"/>
      <c r="H71" s="25"/>
      <c r="J71" t="s">
        <v>97</v>
      </c>
    </row>
    <row r="72" spans="1:14" ht="13.5" x14ac:dyDescent="0.35">
      <c r="A72" s="3"/>
      <c r="B72" s="9"/>
      <c r="C72" s="9"/>
      <c r="D72" s="9"/>
      <c r="E72" s="9"/>
      <c r="J72" t="s">
        <v>98</v>
      </c>
    </row>
    <row r="73" spans="1:14" ht="13.5" x14ac:dyDescent="0.35">
      <c r="A73" s="3" t="s">
        <v>43</v>
      </c>
      <c r="B73" s="18">
        <f>B11+B25+B37+B44+B55+B69</f>
        <v>137185.10488888889</v>
      </c>
      <c r="C73" s="18">
        <f>C11+C25+C37+C44+C55+C69</f>
        <v>130599.47803555556</v>
      </c>
      <c r="D73" s="18">
        <f>D11+D25+D37+D44+D55+D69</f>
        <v>143834.31444630225</v>
      </c>
      <c r="E73" s="18">
        <f>SUM(B73:D73)</f>
        <v>411618.89737074671</v>
      </c>
      <c r="F73" s="25"/>
      <c r="G73" s="25"/>
      <c r="J73" t="s">
        <v>99</v>
      </c>
    </row>
    <row r="74" spans="1:14" ht="13.5" x14ac:dyDescent="0.35">
      <c r="A74" s="3"/>
      <c r="B74" s="9"/>
      <c r="C74" s="9"/>
      <c r="D74" s="9"/>
      <c r="E74" s="9"/>
      <c r="J74" t="s">
        <v>100</v>
      </c>
    </row>
    <row r="75" spans="1:14" ht="13.5" x14ac:dyDescent="0.35">
      <c r="A75" s="3" t="s">
        <v>4</v>
      </c>
      <c r="B75" s="18">
        <f>B71*0.555</f>
        <v>58065.667813333341</v>
      </c>
      <c r="C75" s="18">
        <f>C71*55.5%</f>
        <v>60912.032347733337</v>
      </c>
      <c r="D75" s="18">
        <f>D71*55.5%</f>
        <v>67972.410656837747</v>
      </c>
      <c r="E75" s="18">
        <f>SUM(B75:D75)</f>
        <v>186950.11081790441</v>
      </c>
      <c r="F75" s="24"/>
      <c r="G75" s="24"/>
      <c r="H75" s="24"/>
    </row>
    <row r="76" spans="1:14" ht="13.5" x14ac:dyDescent="0.35">
      <c r="A76" s="3"/>
      <c r="B76" s="9"/>
      <c r="C76" s="9"/>
      <c r="D76" s="9"/>
      <c r="E76" s="9"/>
    </row>
    <row r="77" spans="1:14" ht="13.9" x14ac:dyDescent="0.4">
      <c r="A77" s="4" t="s">
        <v>44</v>
      </c>
      <c r="B77" s="18">
        <f>B73+B75</f>
        <v>195250.77270222222</v>
      </c>
      <c r="C77" s="18">
        <f>C73+C75</f>
        <v>191511.5103832889</v>
      </c>
      <c r="D77" s="18">
        <f>D73+D75</f>
        <v>211806.72510313999</v>
      </c>
      <c r="E77" s="18">
        <f>SUM(B77:D77)</f>
        <v>598569.00818865118</v>
      </c>
      <c r="F77" s="24"/>
      <c r="G77" s="24"/>
      <c r="H77" s="24"/>
    </row>
    <row r="78" spans="1:14" ht="15" x14ac:dyDescent="0.4">
      <c r="A78" s="1"/>
      <c r="B78" s="1"/>
      <c r="C78" s="1"/>
      <c r="D78" s="1"/>
      <c r="E78" s="1"/>
    </row>
    <row r="79" spans="1:14" ht="15" x14ac:dyDescent="0.4">
      <c r="A79" s="1" t="s">
        <v>5</v>
      </c>
      <c r="B79" s="1"/>
      <c r="C79" s="1"/>
      <c r="D79" s="1"/>
      <c r="E79" s="1"/>
    </row>
    <row r="80" spans="1:14" ht="15" x14ac:dyDescent="0.4">
      <c r="A80" s="1" t="s">
        <v>6</v>
      </c>
      <c r="B80" s="1"/>
      <c r="C80" s="1"/>
      <c r="D80" s="1"/>
      <c r="E80" s="1"/>
    </row>
    <row r="81" spans="1:5" ht="15" x14ac:dyDescent="0.4">
      <c r="A81" s="1" t="s">
        <v>13</v>
      </c>
      <c r="B81" s="1"/>
      <c r="C81" s="1"/>
      <c r="D81" s="1"/>
      <c r="E81" s="1"/>
    </row>
    <row r="82" spans="1:5" ht="15.4" thickBot="1" x14ac:dyDescent="0.45">
      <c r="A82" s="1"/>
      <c r="B82" s="1"/>
      <c r="C82" s="1"/>
      <c r="D82" s="1"/>
      <c r="E82" s="1"/>
    </row>
    <row r="83" spans="1:5" ht="15.4" thickBot="1" x14ac:dyDescent="0.45">
      <c r="A83" s="14" t="s">
        <v>14</v>
      </c>
      <c r="B83" s="1"/>
      <c r="C83" s="1"/>
      <c r="D83" s="1"/>
      <c r="E83" s="1"/>
    </row>
    <row r="84" spans="1:5" ht="15" x14ac:dyDescent="0.4">
      <c r="A84" s="12" t="s">
        <v>57</v>
      </c>
      <c r="B84" s="1"/>
      <c r="C84" s="1"/>
      <c r="D84" s="1"/>
      <c r="E84" s="1"/>
    </row>
    <row r="85" spans="1:5" ht="15" x14ac:dyDescent="0.4">
      <c r="A85" s="12" t="s">
        <v>15</v>
      </c>
      <c r="B85" s="1"/>
      <c r="C85" s="1"/>
      <c r="D85" s="1"/>
      <c r="E85" s="1"/>
    </row>
    <row r="86" spans="1:5" ht="15" x14ac:dyDescent="0.4">
      <c r="A86" s="12" t="s">
        <v>0</v>
      </c>
      <c r="B86" s="1"/>
      <c r="C86" s="1"/>
      <c r="D86" s="1"/>
      <c r="E86" s="1"/>
    </row>
    <row r="87" spans="1:5" ht="15.4" thickBot="1" x14ac:dyDescent="0.45">
      <c r="A87" s="13" t="s">
        <v>1</v>
      </c>
      <c r="B87" s="1"/>
      <c r="C87" s="1"/>
      <c r="D87" s="1"/>
      <c r="E87" s="1"/>
    </row>
    <row r="88" spans="1:5" ht="15" x14ac:dyDescent="0.4">
      <c r="A88" s="1"/>
      <c r="B88" s="1"/>
      <c r="C88" s="1"/>
      <c r="D88" s="1"/>
      <c r="E88" s="1"/>
    </row>
    <row r="89" spans="1:5" ht="15" x14ac:dyDescent="0.4">
      <c r="A89" s="1" t="s">
        <v>2</v>
      </c>
      <c r="B89" s="1"/>
      <c r="C89" s="1"/>
      <c r="D89" s="1"/>
      <c r="E89" s="1"/>
    </row>
    <row r="90" spans="1:5" ht="15" x14ac:dyDescent="0.4">
      <c r="A90" s="1" t="s">
        <v>58</v>
      </c>
      <c r="B90" s="1"/>
      <c r="C90" s="1"/>
      <c r="D90" s="1"/>
      <c r="E90" s="1"/>
    </row>
    <row r="91" spans="1:5" ht="15" x14ac:dyDescent="0.4">
      <c r="A91" s="1" t="s">
        <v>59</v>
      </c>
      <c r="B91" s="1"/>
      <c r="C91" s="1"/>
      <c r="D91" s="1"/>
      <c r="E91" s="1"/>
    </row>
    <row r="92" spans="1:5" ht="15" x14ac:dyDescent="0.4">
      <c r="A92" s="1" t="s">
        <v>3</v>
      </c>
      <c r="B92" s="1"/>
      <c r="C92" s="1"/>
      <c r="D92" s="1"/>
      <c r="E92" s="1"/>
    </row>
    <row r="93" spans="1:5" ht="15" x14ac:dyDescent="0.4">
      <c r="A93" s="1"/>
      <c r="B93" s="1"/>
      <c r="C93" s="1"/>
      <c r="D93" s="1"/>
      <c r="E93" s="1"/>
    </row>
    <row r="94" spans="1:5" ht="15" x14ac:dyDescent="0.4">
      <c r="A94" s="1"/>
      <c r="B94" s="1"/>
      <c r="C94" s="1"/>
      <c r="D94" s="1"/>
      <c r="E94" s="1"/>
    </row>
    <row r="95" spans="1:5" ht="15" x14ac:dyDescent="0.4">
      <c r="A95" s="1"/>
      <c r="B95" s="1"/>
      <c r="C95" s="1"/>
      <c r="D95" s="1"/>
      <c r="E95" s="1"/>
    </row>
    <row r="96" spans="1:5" ht="15" x14ac:dyDescent="0.4">
      <c r="A96" s="1"/>
      <c r="B96" s="1"/>
      <c r="C96" s="1"/>
      <c r="D96" s="1"/>
      <c r="E96" s="1"/>
    </row>
    <row r="97" spans="1:5" ht="15" x14ac:dyDescent="0.4">
      <c r="A97" s="1"/>
      <c r="B97" s="1"/>
      <c r="C97" s="1"/>
      <c r="D97" s="1"/>
      <c r="E97" s="1"/>
    </row>
    <row r="98" spans="1:5" ht="15" x14ac:dyDescent="0.4">
      <c r="A98" s="1"/>
      <c r="B98" s="1"/>
      <c r="C98" s="1"/>
      <c r="D98" s="1"/>
      <c r="E98" s="1"/>
    </row>
    <row r="99" spans="1:5" ht="15" x14ac:dyDescent="0.4">
      <c r="A99" s="1"/>
      <c r="B99" s="1"/>
      <c r="C99" s="1"/>
      <c r="D99" s="1"/>
      <c r="E99" s="1"/>
    </row>
    <row r="100" spans="1:5" ht="15" x14ac:dyDescent="0.4">
      <c r="A100" s="1"/>
      <c r="B100" s="1"/>
      <c r="C100" s="1"/>
      <c r="D100" s="1"/>
      <c r="E100" s="1"/>
    </row>
    <row r="101" spans="1:5" ht="15" x14ac:dyDescent="0.4">
      <c r="A101" s="1"/>
      <c r="B101" s="1"/>
      <c r="C101" s="1"/>
      <c r="D101" s="1"/>
      <c r="E101" s="1"/>
    </row>
    <row r="102" spans="1:5" ht="15" x14ac:dyDescent="0.4">
      <c r="A102" s="1"/>
      <c r="B102" s="1"/>
      <c r="C102" s="1"/>
      <c r="D102" s="1"/>
      <c r="E102" s="1"/>
    </row>
    <row r="103" spans="1:5" ht="15" x14ac:dyDescent="0.4">
      <c r="A103" s="1"/>
      <c r="B103" s="1"/>
      <c r="C103" s="1"/>
      <c r="D103" s="1"/>
      <c r="E103" s="1"/>
    </row>
    <row r="104" spans="1:5" ht="15" x14ac:dyDescent="0.4">
      <c r="B104" s="11"/>
      <c r="C104" s="11"/>
      <c r="D104" s="11"/>
      <c r="E104" s="11"/>
    </row>
    <row r="105" spans="1:5" ht="15" x14ac:dyDescent="0.4">
      <c r="B105" s="11"/>
      <c r="C105" s="11"/>
      <c r="D105" s="11"/>
      <c r="E105" s="11"/>
    </row>
    <row r="106" spans="1:5" ht="15" x14ac:dyDescent="0.4">
      <c r="B106" s="11"/>
      <c r="C106" s="11"/>
      <c r="D106" s="11"/>
      <c r="E106" s="11"/>
    </row>
    <row r="107" spans="1:5" ht="15" x14ac:dyDescent="0.4">
      <c r="B107" s="11"/>
      <c r="C107" s="11"/>
      <c r="D107" s="11"/>
      <c r="E107" s="11"/>
    </row>
    <row r="108" spans="1:5" ht="15" x14ac:dyDescent="0.4">
      <c r="B108" s="11"/>
      <c r="C108" s="11"/>
      <c r="D108" s="11"/>
      <c r="E108" s="11"/>
    </row>
    <row r="109" spans="1:5" ht="15" x14ac:dyDescent="0.4">
      <c r="B109" s="11"/>
      <c r="C109" s="11"/>
      <c r="D109" s="11"/>
      <c r="E109" s="11"/>
    </row>
    <row r="110" spans="1:5" ht="15" x14ac:dyDescent="0.4">
      <c r="B110" s="11"/>
      <c r="C110" s="11"/>
      <c r="D110" s="11"/>
      <c r="E110" s="11"/>
    </row>
    <row r="111" spans="1:5" ht="15" x14ac:dyDescent="0.4">
      <c r="B111" s="11"/>
      <c r="C111" s="11"/>
      <c r="D111" s="11"/>
      <c r="E111" s="11"/>
    </row>
    <row r="112" spans="1:5" ht="15" x14ac:dyDescent="0.4">
      <c r="B112" s="11"/>
      <c r="C112" s="11"/>
      <c r="D112" s="11"/>
      <c r="E112" s="11"/>
    </row>
    <row r="113" spans="2:5" ht="15" x14ac:dyDescent="0.4">
      <c r="B113" s="11"/>
      <c r="C113" s="11"/>
      <c r="D113" s="11"/>
      <c r="E113" s="11"/>
    </row>
    <row r="114" spans="2:5" ht="15" x14ac:dyDescent="0.4">
      <c r="B114" s="11"/>
      <c r="C114" s="11"/>
      <c r="D114" s="11"/>
      <c r="E114" s="11"/>
    </row>
    <row r="115" spans="2:5" ht="15" x14ac:dyDescent="0.4">
      <c r="B115" s="11"/>
      <c r="C115" s="11"/>
      <c r="D115" s="11"/>
      <c r="E115" s="11"/>
    </row>
    <row r="116" spans="2:5" ht="15" x14ac:dyDescent="0.4">
      <c r="B116" s="11"/>
      <c r="C116" s="11"/>
      <c r="D116" s="11"/>
      <c r="E116" s="11"/>
    </row>
    <row r="117" spans="2:5" ht="15" x14ac:dyDescent="0.4">
      <c r="B117" s="11"/>
      <c r="C117" s="11"/>
      <c r="D117" s="11"/>
      <c r="E117" s="11"/>
    </row>
    <row r="118" spans="2:5" ht="15" x14ac:dyDescent="0.4">
      <c r="B118" s="11"/>
      <c r="C118" s="11"/>
      <c r="D118" s="11"/>
      <c r="E118" s="11"/>
    </row>
    <row r="119" spans="2:5" ht="15" x14ac:dyDescent="0.4">
      <c r="B119" s="11"/>
      <c r="C119" s="11"/>
      <c r="D119" s="11"/>
      <c r="E119" s="11"/>
    </row>
    <row r="120" spans="2:5" ht="15" x14ac:dyDescent="0.4">
      <c r="B120" s="11"/>
      <c r="C120" s="11"/>
      <c r="D120" s="11"/>
      <c r="E120" s="11"/>
    </row>
    <row r="121" spans="2:5" ht="15" x14ac:dyDescent="0.4">
      <c r="B121" s="11"/>
      <c r="C121" s="11"/>
      <c r="D121" s="11"/>
      <c r="E121" s="11"/>
    </row>
    <row r="122" spans="2:5" ht="15" x14ac:dyDescent="0.4">
      <c r="B122" s="11"/>
      <c r="C122" s="11"/>
      <c r="D122" s="11"/>
      <c r="E122" s="11"/>
    </row>
    <row r="123" spans="2:5" ht="15" x14ac:dyDescent="0.4">
      <c r="B123" s="11"/>
      <c r="C123" s="11"/>
      <c r="D123" s="11"/>
      <c r="E123" s="11"/>
    </row>
    <row r="124" spans="2:5" ht="15" x14ac:dyDescent="0.4">
      <c r="B124" s="11"/>
      <c r="C124" s="11"/>
      <c r="D124" s="11"/>
      <c r="E124" s="11"/>
    </row>
    <row r="125" spans="2:5" ht="15" x14ac:dyDescent="0.4">
      <c r="B125" s="11"/>
      <c r="C125" s="11"/>
      <c r="D125" s="11"/>
      <c r="E125" s="11"/>
    </row>
    <row r="126" spans="2:5" ht="15" x14ac:dyDescent="0.4">
      <c r="B126" s="11"/>
      <c r="C126" s="11"/>
      <c r="D126" s="11"/>
      <c r="E126" s="11"/>
    </row>
    <row r="127" spans="2:5" ht="15" x14ac:dyDescent="0.4">
      <c r="B127" s="11"/>
      <c r="C127" s="11"/>
      <c r="D127" s="11"/>
      <c r="E127" s="11"/>
    </row>
    <row r="128" spans="2:5" ht="15" x14ac:dyDescent="0.4">
      <c r="B128" s="11"/>
      <c r="C128" s="11"/>
      <c r="D128" s="11"/>
      <c r="E128" s="11"/>
    </row>
    <row r="129" spans="2:5" ht="15" x14ac:dyDescent="0.4">
      <c r="B129" s="11"/>
      <c r="C129" s="11"/>
      <c r="D129" s="11"/>
      <c r="E129" s="11"/>
    </row>
  </sheetData>
  <phoneticPr fontId="0" type="noConversion"/>
  <printOptions horizontalCentered="1"/>
  <pageMargins left="0.25" right="0.15" top="0.5" bottom="0.5" header="0.5" footer="0.5"/>
  <pageSetup scale="82" orientation="portrait" horizontalDpi="300" verticalDpi="300"/>
  <headerFooter alignWithMargins="0"/>
  <rowBreaks count="1" manualBreakCount="1">
    <brk id="44" max="4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Colorado at 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Lynette Michael</dc:creator>
  <cp:lastModifiedBy>Amy Roberts</cp:lastModifiedBy>
  <cp:lastPrinted>2017-10-20T17:47:03Z</cp:lastPrinted>
  <dcterms:created xsi:type="dcterms:W3CDTF">1999-07-14T19:17:12Z</dcterms:created>
  <dcterms:modified xsi:type="dcterms:W3CDTF">2019-03-25T21:18:01Z</dcterms:modified>
</cp:coreProperties>
</file>