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search_Assistant\2025-Segway\Motor_comparison\"/>
    </mc:Choice>
  </mc:AlternateContent>
  <xr:revisionPtr revIDLastSave="0" documentId="13_ncr:1_{D6A68112-5001-4A8A-BEEF-8125757B50D7}" xr6:coauthVersionLast="47" xr6:coauthVersionMax="47" xr10:uidLastSave="{00000000-0000-0000-0000-000000000000}"/>
  <bookViews>
    <workbookView xWindow="38280" yWindow="-120" windowWidth="29040" windowHeight="17640" xr2:uid="{570E07AD-FC28-440A-AD05-5A67D0056081}"/>
  </bookViews>
  <sheets>
    <sheet name="Comparison" sheetId="1" r:id="rId1"/>
    <sheet name="Pololu" sheetId="2" r:id="rId2"/>
    <sheet name="EN-21-170" sheetId="3" r:id="rId3"/>
    <sheet name="EN-22-120" sheetId="4" r:id="rId4"/>
    <sheet name="EN-21-383" sheetId="5" r:id="rId5"/>
    <sheet name="EN-21-349" sheetId="6" r:id="rId6"/>
    <sheet name="EN-21-385-38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G75" i="1"/>
  <c r="G42" i="1"/>
  <c r="C64" i="1"/>
  <c r="C75" i="1"/>
  <c r="G74" i="1"/>
  <c r="F74" i="1"/>
  <c r="E39" i="1"/>
  <c r="E61" i="1"/>
  <c r="F61" i="1"/>
  <c r="F39" i="1"/>
  <c r="F75" i="1"/>
  <c r="C16" i="1"/>
  <c r="N15" i="1" s="1"/>
  <c r="F64" i="1"/>
  <c r="E64" i="1"/>
  <c r="E42" i="1"/>
  <c r="F42" i="1"/>
  <c r="G26" i="1"/>
  <c r="G30" i="1" s="1"/>
  <c r="C34" i="1"/>
  <c r="C15" i="1" s="1"/>
  <c r="F49" i="1"/>
  <c r="F53" i="1" s="1"/>
  <c r="F26" i="1"/>
  <c r="F35" i="1" s="1"/>
  <c r="C58" i="1"/>
  <c r="C57" i="1"/>
  <c r="E49" i="1"/>
  <c r="E57" i="1" s="1"/>
  <c r="E26" i="1"/>
  <c r="E35" i="1" s="1"/>
  <c r="C35" i="1"/>
  <c r="C12" i="1" s="1"/>
  <c r="C6" i="1"/>
  <c r="C36" i="1" l="1"/>
  <c r="G36" i="1"/>
  <c r="E36" i="1"/>
  <c r="F36" i="1"/>
  <c r="C11" i="1"/>
  <c r="E30" i="1"/>
  <c r="E34" i="1"/>
  <c r="F29" i="1"/>
  <c r="G34" i="1"/>
  <c r="G35" i="1"/>
  <c r="F30" i="1"/>
  <c r="F34" i="1"/>
  <c r="G29" i="1"/>
  <c r="F57" i="1"/>
  <c r="E58" i="1"/>
  <c r="F52" i="1"/>
  <c r="F58" i="1"/>
  <c r="E29" i="1"/>
  <c r="E52" i="1"/>
  <c r="E53" i="1"/>
</calcChain>
</file>

<file path=xl/sharedStrings.xml><?xml version="1.0" encoding="utf-8"?>
<sst xmlns="http://schemas.openxmlformats.org/spreadsheetml/2006/main" count="144" uniqueCount="62">
  <si>
    <t>Motor</t>
  </si>
  <si>
    <t>Gear Ratio</t>
  </si>
  <si>
    <t>Stall current (A)</t>
  </si>
  <si>
    <t>Motor + Gearbox</t>
  </si>
  <si>
    <t>Shaft diameter (mm)</t>
  </si>
  <si>
    <t>Weight (g)</t>
  </si>
  <si>
    <t>Size (mm)</t>
  </si>
  <si>
    <t>Pololu 47:1 Metal Gearmotor 25Dx67L mm MP 12V with 48 CPR Encoder</t>
  </si>
  <si>
    <t>Brand, series</t>
  </si>
  <si>
    <t>Integrated</t>
  </si>
  <si>
    <t>Shaft length (mm)</t>
  </si>
  <si>
    <t>No load speed (RPM)</t>
  </si>
  <si>
    <t>Nominal current (A)</t>
  </si>
  <si>
    <t>Stall torque (mNm)</t>
  </si>
  <si>
    <t>No load current (mA)</t>
  </si>
  <si>
    <t>Nominal voltage (V)</t>
  </si>
  <si>
    <t>Nominal speed (RPM)</t>
  </si>
  <si>
    <t>Nominal torque (mNm)</t>
  </si>
  <si>
    <t>-</t>
  </si>
  <si>
    <t>Max power (W)</t>
  </si>
  <si>
    <t>22D x 31.9L</t>
  </si>
  <si>
    <t>Eff.</t>
  </si>
  <si>
    <t>Price</t>
  </si>
  <si>
    <t>45.95 USD</t>
  </si>
  <si>
    <t>DC-max 22 S Ø22 mm, graphite brushes, ball bearings</t>
  </si>
  <si>
    <t>22D x 32L</t>
  </si>
  <si>
    <t>Doc</t>
  </si>
  <si>
    <t>EN-21-170.pdf</t>
  </si>
  <si>
    <t>A-max 22 Ø22 mm, Graphite Brushes, 6 Watt, with terminals
Part number 110160 / 231171</t>
  </si>
  <si>
    <t>EN-22-120.pdf</t>
  </si>
  <si>
    <t>Comparing position</t>
  </si>
  <si>
    <t>25D x 30.8L</t>
  </si>
  <si>
    <t>25D x 67L (w/o shaft)</t>
  </si>
  <si>
    <t>Size (mm) motor + gear</t>
  </si>
  <si>
    <t>Size (mm) motor + gear + enc</t>
  </si>
  <si>
    <t>25D x 45.5L</t>
  </si>
  <si>
    <t>max eff</t>
  </si>
  <si>
    <t>Max continuous input speed (RPM)</t>
  </si>
  <si>
    <t>EN-21-383.pdf</t>
  </si>
  <si>
    <t>Planetary Gearhead GP 22 A Ø22 mm, 0.5 - 1.0 Nm, Metal Version
Part number 134163</t>
  </si>
  <si>
    <t>EN-21-385-386.pdf</t>
  </si>
  <si>
    <t>Planetary Gearhead GP 22 C Ø22 mm, 0.5 - 2.0 Nm | Ceramic Version
Part number 143980</t>
  </si>
  <si>
    <t>24D x 70.9L</t>
  </si>
  <si>
    <t>Max continuous torque (mNm)</t>
  </si>
  <si>
    <t>Max power (W) (mechanical)</t>
  </si>
  <si>
    <t>Planetary gearhead GPX 22 Ø22 mm, 2-stage</t>
  </si>
  <si>
    <t>EN-21-349.pdf</t>
  </si>
  <si>
    <t>Price (for 10 units)</t>
  </si>
  <si>
    <t>Torque constant (mNm/A)</t>
  </si>
  <si>
    <t>Speed constant (RPM/V)</t>
  </si>
  <si>
    <t>A-max 22 Ø22 mm, Graphite Brushes, 6 Watt, with terminals
Part number 110161 / 353025</t>
  </si>
  <si>
    <t xml:space="preserve">Motor + Gearbox + Encoder </t>
  </si>
  <si>
    <t>Encoder ENX 10 EASY, 1 - 1024 CPT</t>
  </si>
  <si>
    <t>Counts/turn</t>
  </si>
  <si>
    <t>Channel</t>
  </si>
  <si>
    <t>22D x 67.4L (w/o shaft)</t>
  </si>
  <si>
    <t>22D x 58.4L</t>
  </si>
  <si>
    <t>22D x 68.1L</t>
  </si>
  <si>
    <t>22D x 77.2L (w/o shaft)</t>
  </si>
  <si>
    <t>ENX 22 IMR encoder, 512 counts, 2-channel
Part number 875516</t>
  </si>
  <si>
    <t>EN-21-447.pdf</t>
  </si>
  <si>
    <t>Catalog-Page-ENX-22-IMR-EN.pdf, Product-Information-ENX-IMR-12-24-en.pdf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</si>
</sst>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2" fontId="1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585662</xdr:colOff>
      <xdr:row>3</xdr:row>
      <xdr:rowOff>190505</xdr:rowOff>
    </xdr:from>
    <xdr:to>
      <xdr:col>3</xdr:col>
      <xdr:colOff>182694</xdr:colOff>
      <xdr:row>3</xdr:row>
      <xdr:rowOff>919425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4FE4B-9EDF-47DE-954B-8A7BB4184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4034506" y="513561"/>
          <a:ext cx="728920" cy="2121157"/>
        </a:xfrm>
        <a:prstGeom prst="rect">
          <a:avLst/>
        </a:prstGeom>
      </xdr:spPr>
    </xdr:pic>
    <xdr:clientData/>
  </xdr:twoCellAnchor>
  <xdr:oneCellAnchor>
    <xdr:from>
      <xdr:col>2</xdr:col>
      <xdr:colOff>1133475</xdr:colOff>
      <xdr:row>3</xdr:row>
      <xdr:rowOff>428626</xdr:rowOff>
    </xdr:from>
    <xdr:ext cx="526683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693697-3953-83BD-EDA7-807A12DA6357}"/>
            </a:ext>
          </a:extLst>
        </xdr:cNvPr>
        <xdr:cNvSpPr txBox="1"/>
      </xdr:nvSpPr>
      <xdr:spPr>
        <a:xfrm>
          <a:off x="3886200" y="1447801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oneCellAnchor>
    <xdr:from>
      <xdr:col>2</xdr:col>
      <xdr:colOff>1885950</xdr:colOff>
      <xdr:row>3</xdr:row>
      <xdr:rowOff>428626</xdr:rowOff>
    </xdr:from>
    <xdr:ext cx="67467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27794D-98C4-4730-B90E-BBA5C961E6FD}"/>
            </a:ext>
          </a:extLst>
        </xdr:cNvPr>
        <xdr:cNvSpPr txBox="1"/>
      </xdr:nvSpPr>
      <xdr:spPr>
        <a:xfrm>
          <a:off x="4638675" y="1447801"/>
          <a:ext cx="6746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Gearbox</a:t>
          </a:r>
        </a:p>
      </xdr:txBody>
    </xdr:sp>
    <xdr:clientData/>
  </xdr:oneCellAnchor>
  <xdr:oneCellAnchor>
    <xdr:from>
      <xdr:col>2</xdr:col>
      <xdr:colOff>342900</xdr:colOff>
      <xdr:row>3</xdr:row>
      <xdr:rowOff>428626</xdr:rowOff>
    </xdr:from>
    <xdr:ext cx="66781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E1FF4D-9FF0-AFD0-CC53-F11853DE2967}"/>
            </a:ext>
          </a:extLst>
        </xdr:cNvPr>
        <xdr:cNvSpPr txBox="1"/>
      </xdr:nvSpPr>
      <xdr:spPr>
        <a:xfrm>
          <a:off x="3095625" y="1447801"/>
          <a:ext cx="6678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Encoder</a:t>
          </a:r>
        </a:p>
      </xdr:txBody>
    </xdr:sp>
    <xdr:clientData/>
  </xdr:oneCellAnchor>
  <xdr:twoCellAnchor>
    <xdr:from>
      <xdr:col>2</xdr:col>
      <xdr:colOff>1733550</xdr:colOff>
      <xdr:row>3</xdr:row>
      <xdr:rowOff>400051</xdr:rowOff>
    </xdr:from>
    <xdr:to>
      <xdr:col>2</xdr:col>
      <xdr:colOff>1981200</xdr:colOff>
      <xdr:row>3</xdr:row>
      <xdr:rowOff>647701</xdr:rowOff>
    </xdr:to>
    <xdr:sp macro="" textlink="">
      <xdr:nvSpPr>
        <xdr:cNvPr id="6" name="Star: 5 Points 5">
          <a:extLst>
            <a:ext uri="{FF2B5EF4-FFF2-40B4-BE49-F238E27FC236}">
              <a16:creationId xmlns:a16="http://schemas.microsoft.com/office/drawing/2014/main" id="{84718AF6-BEFF-0FE8-B88D-659011290A65}"/>
            </a:ext>
          </a:extLst>
        </xdr:cNvPr>
        <xdr:cNvSpPr/>
      </xdr:nvSpPr>
      <xdr:spPr>
        <a:xfrm>
          <a:off x="4486275" y="1419226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371474</xdr:colOff>
      <xdr:row>3</xdr:row>
      <xdr:rowOff>189788</xdr:rowOff>
    </xdr:from>
    <xdr:to>
      <xdr:col>4</xdr:col>
      <xdr:colOff>2076450</xdr:colOff>
      <xdr:row>3</xdr:row>
      <xdr:rowOff>943150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B5131B-8E7E-EF38-EF93-D12ACD3DD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5181599" y="1142288"/>
          <a:ext cx="1704976" cy="753362"/>
        </a:xfrm>
        <a:prstGeom prst="rect">
          <a:avLst/>
        </a:prstGeom>
      </xdr:spPr>
    </xdr:pic>
    <xdr:clientData/>
  </xdr:twoCellAnchor>
  <xdr:oneCellAnchor>
    <xdr:from>
      <xdr:col>4</xdr:col>
      <xdr:colOff>1114425</xdr:colOff>
      <xdr:row>3</xdr:row>
      <xdr:rowOff>428625</xdr:rowOff>
    </xdr:from>
    <xdr:ext cx="526683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255434-D024-8D2A-A474-3FA12BB63C04}"/>
            </a:ext>
          </a:extLst>
        </xdr:cNvPr>
        <xdr:cNvSpPr txBox="1"/>
      </xdr:nvSpPr>
      <xdr:spPr>
        <a:xfrm>
          <a:off x="5924550" y="1381125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twoCellAnchor>
    <xdr:from>
      <xdr:col>4</xdr:col>
      <xdr:colOff>1981200</xdr:colOff>
      <xdr:row>3</xdr:row>
      <xdr:rowOff>400050</xdr:rowOff>
    </xdr:from>
    <xdr:to>
      <xdr:col>4</xdr:col>
      <xdr:colOff>2228850</xdr:colOff>
      <xdr:row>3</xdr:row>
      <xdr:rowOff>647700</xdr:rowOff>
    </xdr:to>
    <xdr:sp macro="" textlink="">
      <xdr:nvSpPr>
        <xdr:cNvPr id="9" name="Star: 5 Points 8">
          <a:extLst>
            <a:ext uri="{FF2B5EF4-FFF2-40B4-BE49-F238E27FC236}">
              <a16:creationId xmlns:a16="http://schemas.microsoft.com/office/drawing/2014/main" id="{E1B10E22-2DFF-3A03-EDEF-8ABFCB2E8E6B}"/>
            </a:ext>
          </a:extLst>
        </xdr:cNvPr>
        <xdr:cNvSpPr/>
      </xdr:nvSpPr>
      <xdr:spPr>
        <a:xfrm>
          <a:off x="6791325" y="1352550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304799</xdr:colOff>
      <xdr:row>3</xdr:row>
      <xdr:rowOff>189788</xdr:rowOff>
    </xdr:from>
    <xdr:to>
      <xdr:col>5</xdr:col>
      <xdr:colOff>2009775</xdr:colOff>
      <xdr:row>3</xdr:row>
      <xdr:rowOff>943150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1D901B5-A808-0B3A-CA19-DF317E5A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7639049" y="1142288"/>
          <a:ext cx="1704976" cy="753362"/>
        </a:xfrm>
        <a:prstGeom prst="rect">
          <a:avLst/>
        </a:prstGeom>
      </xdr:spPr>
    </xdr:pic>
    <xdr:clientData/>
  </xdr:twoCellAnchor>
  <xdr:oneCellAnchor>
    <xdr:from>
      <xdr:col>5</xdr:col>
      <xdr:colOff>1047750</xdr:colOff>
      <xdr:row>3</xdr:row>
      <xdr:rowOff>428625</xdr:rowOff>
    </xdr:from>
    <xdr:ext cx="526683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FF32320-6EF1-1CB5-B210-752E06412F95}"/>
            </a:ext>
          </a:extLst>
        </xdr:cNvPr>
        <xdr:cNvSpPr txBox="1"/>
      </xdr:nvSpPr>
      <xdr:spPr>
        <a:xfrm>
          <a:off x="8382000" y="1381125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twoCellAnchor>
    <xdr:from>
      <xdr:col>5</xdr:col>
      <xdr:colOff>1914525</xdr:colOff>
      <xdr:row>3</xdr:row>
      <xdr:rowOff>400050</xdr:rowOff>
    </xdr:from>
    <xdr:to>
      <xdr:col>5</xdr:col>
      <xdr:colOff>2162175</xdr:colOff>
      <xdr:row>3</xdr:row>
      <xdr:rowOff>647700</xdr:rowOff>
    </xdr:to>
    <xdr:sp macro="" textlink="">
      <xdr:nvSpPr>
        <xdr:cNvPr id="12" name="Star: 5 Points 11">
          <a:extLst>
            <a:ext uri="{FF2B5EF4-FFF2-40B4-BE49-F238E27FC236}">
              <a16:creationId xmlns:a16="http://schemas.microsoft.com/office/drawing/2014/main" id="{15C39FDE-63D3-9B56-E1EA-C680B2E3EA73}"/>
            </a:ext>
          </a:extLst>
        </xdr:cNvPr>
        <xdr:cNvSpPr/>
      </xdr:nvSpPr>
      <xdr:spPr>
        <a:xfrm>
          <a:off x="9248775" y="1352550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600075</xdr:colOff>
      <xdr:row>3</xdr:row>
      <xdr:rowOff>187263</xdr:rowOff>
    </xdr:from>
    <xdr:to>
      <xdr:col>6</xdr:col>
      <xdr:colOff>2114550</xdr:colOff>
      <xdr:row>3</xdr:row>
      <xdr:rowOff>938850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AFCD282-032F-5C33-01AB-742423738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10458450" y="1139763"/>
          <a:ext cx="1514475" cy="751587"/>
        </a:xfrm>
        <a:prstGeom prst="rect">
          <a:avLst/>
        </a:prstGeom>
      </xdr:spPr>
    </xdr:pic>
    <xdr:clientData/>
  </xdr:twoCellAnchor>
  <xdr:oneCellAnchor>
    <xdr:from>
      <xdr:col>6</xdr:col>
      <xdr:colOff>1038225</xdr:colOff>
      <xdr:row>3</xdr:row>
      <xdr:rowOff>428625</xdr:rowOff>
    </xdr:from>
    <xdr:ext cx="526683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A62E41B-CE30-25C0-3836-8B4E337B0746}"/>
            </a:ext>
          </a:extLst>
        </xdr:cNvPr>
        <xdr:cNvSpPr txBox="1"/>
      </xdr:nvSpPr>
      <xdr:spPr>
        <a:xfrm>
          <a:off x="10896600" y="1381125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twoCellAnchor>
    <xdr:from>
      <xdr:col>6</xdr:col>
      <xdr:colOff>1905000</xdr:colOff>
      <xdr:row>3</xdr:row>
      <xdr:rowOff>400050</xdr:rowOff>
    </xdr:from>
    <xdr:to>
      <xdr:col>6</xdr:col>
      <xdr:colOff>2152650</xdr:colOff>
      <xdr:row>3</xdr:row>
      <xdr:rowOff>647700</xdr:rowOff>
    </xdr:to>
    <xdr:sp macro="" textlink="">
      <xdr:nvSpPr>
        <xdr:cNvPr id="21" name="Star: 5 Points 20">
          <a:extLst>
            <a:ext uri="{FF2B5EF4-FFF2-40B4-BE49-F238E27FC236}">
              <a16:creationId xmlns:a16="http://schemas.microsoft.com/office/drawing/2014/main" id="{6BA4B1E1-4272-FE80-88BE-7D0D9E467821}"/>
            </a:ext>
          </a:extLst>
        </xdr:cNvPr>
        <xdr:cNvSpPr/>
      </xdr:nvSpPr>
      <xdr:spPr>
        <a:xfrm>
          <a:off x="11763375" y="1352550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85726</xdr:colOff>
      <xdr:row>24</xdr:row>
      <xdr:rowOff>229591</xdr:rowOff>
    </xdr:from>
    <xdr:to>
      <xdr:col>4</xdr:col>
      <xdr:colOff>2486026</xdr:colOff>
      <xdr:row>24</xdr:row>
      <xdr:rowOff>819379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2390A21-4359-8CA0-1CBB-3D6B524DC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5848351" y="6106516"/>
          <a:ext cx="2400300" cy="589788"/>
        </a:xfrm>
        <a:prstGeom prst="rect">
          <a:avLst/>
        </a:prstGeom>
      </xdr:spPr>
    </xdr:pic>
    <xdr:clientData/>
  </xdr:twoCellAnchor>
  <xdr:oneCellAnchor>
    <xdr:from>
      <xdr:col>4</xdr:col>
      <xdr:colOff>476250</xdr:colOff>
      <xdr:row>24</xdr:row>
      <xdr:rowOff>381001</xdr:rowOff>
    </xdr:from>
    <xdr:ext cx="52668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F278259-90D3-CE96-4B8A-2A8763834F80}"/>
            </a:ext>
          </a:extLst>
        </xdr:cNvPr>
        <xdr:cNvSpPr txBox="1"/>
      </xdr:nvSpPr>
      <xdr:spPr>
        <a:xfrm>
          <a:off x="6238875" y="6257926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oneCellAnchor>
    <xdr:from>
      <xdr:col>4</xdr:col>
      <xdr:colOff>1352550</xdr:colOff>
      <xdr:row>24</xdr:row>
      <xdr:rowOff>381001</xdr:rowOff>
    </xdr:from>
    <xdr:ext cx="67467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2BDE78F-127C-1A10-58E2-C9D484AAF309}"/>
            </a:ext>
          </a:extLst>
        </xdr:cNvPr>
        <xdr:cNvSpPr txBox="1"/>
      </xdr:nvSpPr>
      <xdr:spPr>
        <a:xfrm>
          <a:off x="7115175" y="6257926"/>
          <a:ext cx="6746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Gearbox</a:t>
          </a:r>
        </a:p>
      </xdr:txBody>
    </xdr:sp>
    <xdr:clientData/>
  </xdr:oneCellAnchor>
  <xdr:twoCellAnchor>
    <xdr:from>
      <xdr:col>4</xdr:col>
      <xdr:colOff>2247900</xdr:colOff>
      <xdr:row>24</xdr:row>
      <xdr:rowOff>352426</xdr:rowOff>
    </xdr:from>
    <xdr:to>
      <xdr:col>4</xdr:col>
      <xdr:colOff>2495550</xdr:colOff>
      <xdr:row>24</xdr:row>
      <xdr:rowOff>600076</xdr:rowOff>
    </xdr:to>
    <xdr:sp macro="" textlink="">
      <xdr:nvSpPr>
        <xdr:cNvPr id="32" name="Star: 5 Points 31">
          <a:extLst>
            <a:ext uri="{FF2B5EF4-FFF2-40B4-BE49-F238E27FC236}">
              <a16:creationId xmlns:a16="http://schemas.microsoft.com/office/drawing/2014/main" id="{F2D7CAC7-554B-7024-AA13-069FE37B7B1C}"/>
            </a:ext>
          </a:extLst>
        </xdr:cNvPr>
        <xdr:cNvSpPr/>
      </xdr:nvSpPr>
      <xdr:spPr>
        <a:xfrm>
          <a:off x="8010525" y="6229351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85726</xdr:colOff>
      <xdr:row>47</xdr:row>
      <xdr:rowOff>296826</xdr:rowOff>
    </xdr:from>
    <xdr:to>
      <xdr:col>4</xdr:col>
      <xdr:colOff>2486026</xdr:colOff>
      <xdr:row>47</xdr:row>
      <xdr:rowOff>886614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72EF675-1DA6-F318-2159-670F6EA71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5834344" y="12186267"/>
          <a:ext cx="2400300" cy="589788"/>
        </a:xfrm>
        <a:prstGeom prst="rect">
          <a:avLst/>
        </a:prstGeom>
      </xdr:spPr>
    </xdr:pic>
    <xdr:clientData/>
  </xdr:twoCellAnchor>
  <xdr:oneCellAnchor>
    <xdr:from>
      <xdr:col>4</xdr:col>
      <xdr:colOff>476250</xdr:colOff>
      <xdr:row>47</xdr:row>
      <xdr:rowOff>448236</xdr:rowOff>
    </xdr:from>
    <xdr:ext cx="526683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1CA0A9B-B347-44F0-D81F-604756A2BA66}"/>
            </a:ext>
          </a:extLst>
        </xdr:cNvPr>
        <xdr:cNvSpPr txBox="1"/>
      </xdr:nvSpPr>
      <xdr:spPr>
        <a:xfrm>
          <a:off x="6224868" y="12337677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oneCellAnchor>
    <xdr:from>
      <xdr:col>4</xdr:col>
      <xdr:colOff>1352550</xdr:colOff>
      <xdr:row>47</xdr:row>
      <xdr:rowOff>448236</xdr:rowOff>
    </xdr:from>
    <xdr:ext cx="67467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F2727B7-C081-9A22-E66D-4FD2F1C2670E}"/>
            </a:ext>
          </a:extLst>
        </xdr:cNvPr>
        <xdr:cNvSpPr txBox="1"/>
      </xdr:nvSpPr>
      <xdr:spPr>
        <a:xfrm>
          <a:off x="7101168" y="12337677"/>
          <a:ext cx="6746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Gearbox</a:t>
          </a:r>
        </a:p>
      </xdr:txBody>
    </xdr:sp>
    <xdr:clientData/>
  </xdr:oneCellAnchor>
  <xdr:twoCellAnchor>
    <xdr:from>
      <xdr:col>4</xdr:col>
      <xdr:colOff>2247900</xdr:colOff>
      <xdr:row>47</xdr:row>
      <xdr:rowOff>419661</xdr:rowOff>
    </xdr:from>
    <xdr:to>
      <xdr:col>4</xdr:col>
      <xdr:colOff>2495550</xdr:colOff>
      <xdr:row>47</xdr:row>
      <xdr:rowOff>667311</xdr:rowOff>
    </xdr:to>
    <xdr:sp macro="" textlink="">
      <xdr:nvSpPr>
        <xdr:cNvPr id="40" name="Star: 5 Points 39">
          <a:extLst>
            <a:ext uri="{FF2B5EF4-FFF2-40B4-BE49-F238E27FC236}">
              <a16:creationId xmlns:a16="http://schemas.microsoft.com/office/drawing/2014/main" id="{C14340EA-459F-EF1E-E836-188B972BD16E}"/>
            </a:ext>
          </a:extLst>
        </xdr:cNvPr>
        <xdr:cNvSpPr/>
      </xdr:nvSpPr>
      <xdr:spPr>
        <a:xfrm>
          <a:off x="7996518" y="12309102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85726</xdr:colOff>
      <xdr:row>24</xdr:row>
      <xdr:rowOff>229591</xdr:rowOff>
    </xdr:from>
    <xdr:ext cx="2400300" cy="589788"/>
    <xdr:pic>
      <xdr:nvPicPr>
        <xdr:cNvPr id="46" name="Picture 45">
          <a:extLst>
            <a:ext uri="{FF2B5EF4-FFF2-40B4-BE49-F238E27FC236}">
              <a16:creationId xmlns:a16="http://schemas.microsoft.com/office/drawing/2014/main" id="{966E5E58-9D31-41AE-9A42-D91F86806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5834344" y="6090267"/>
          <a:ext cx="2400300" cy="589788"/>
        </a:xfrm>
        <a:prstGeom prst="rect">
          <a:avLst/>
        </a:prstGeom>
      </xdr:spPr>
    </xdr:pic>
    <xdr:clientData/>
  </xdr:oneCellAnchor>
  <xdr:oneCellAnchor>
    <xdr:from>
      <xdr:col>5</xdr:col>
      <xdr:colOff>476250</xdr:colOff>
      <xdr:row>24</xdr:row>
      <xdr:rowOff>381001</xdr:rowOff>
    </xdr:from>
    <xdr:ext cx="526683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69E66E3-1A02-4EE3-98A5-534EE89FB4B3}"/>
            </a:ext>
          </a:extLst>
        </xdr:cNvPr>
        <xdr:cNvSpPr txBox="1"/>
      </xdr:nvSpPr>
      <xdr:spPr>
        <a:xfrm>
          <a:off x="6224868" y="6241677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oneCellAnchor>
    <xdr:from>
      <xdr:col>5</xdr:col>
      <xdr:colOff>1352550</xdr:colOff>
      <xdr:row>24</xdr:row>
      <xdr:rowOff>381001</xdr:rowOff>
    </xdr:from>
    <xdr:ext cx="674672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E8848CE-05F0-423B-9722-B29E8D9B9C70}"/>
            </a:ext>
          </a:extLst>
        </xdr:cNvPr>
        <xdr:cNvSpPr txBox="1"/>
      </xdr:nvSpPr>
      <xdr:spPr>
        <a:xfrm>
          <a:off x="7101168" y="6241677"/>
          <a:ext cx="6746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Gearbox</a:t>
          </a:r>
        </a:p>
      </xdr:txBody>
    </xdr:sp>
    <xdr:clientData/>
  </xdr:oneCellAnchor>
  <xdr:twoCellAnchor>
    <xdr:from>
      <xdr:col>5</xdr:col>
      <xdr:colOff>2247900</xdr:colOff>
      <xdr:row>24</xdr:row>
      <xdr:rowOff>352426</xdr:rowOff>
    </xdr:from>
    <xdr:to>
      <xdr:col>5</xdr:col>
      <xdr:colOff>2495550</xdr:colOff>
      <xdr:row>24</xdr:row>
      <xdr:rowOff>600076</xdr:rowOff>
    </xdr:to>
    <xdr:sp macro="" textlink="">
      <xdr:nvSpPr>
        <xdr:cNvPr id="49" name="Star: 5 Points 48">
          <a:extLst>
            <a:ext uri="{FF2B5EF4-FFF2-40B4-BE49-F238E27FC236}">
              <a16:creationId xmlns:a16="http://schemas.microsoft.com/office/drawing/2014/main" id="{20358FAE-4BF5-4333-A16B-651CBB4206BA}"/>
            </a:ext>
          </a:extLst>
        </xdr:cNvPr>
        <xdr:cNvSpPr/>
      </xdr:nvSpPr>
      <xdr:spPr>
        <a:xfrm>
          <a:off x="7996518" y="6213102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85726</xdr:colOff>
      <xdr:row>47</xdr:row>
      <xdr:rowOff>296826</xdr:rowOff>
    </xdr:from>
    <xdr:ext cx="2400300" cy="589788"/>
    <xdr:pic>
      <xdr:nvPicPr>
        <xdr:cNvPr id="50" name="Picture 49">
          <a:extLst>
            <a:ext uri="{FF2B5EF4-FFF2-40B4-BE49-F238E27FC236}">
              <a16:creationId xmlns:a16="http://schemas.microsoft.com/office/drawing/2014/main" id="{29162001-F515-46F9-B319-43C7B23D1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5834344" y="11995767"/>
          <a:ext cx="2400300" cy="589788"/>
        </a:xfrm>
        <a:prstGeom prst="rect">
          <a:avLst/>
        </a:prstGeom>
      </xdr:spPr>
    </xdr:pic>
    <xdr:clientData/>
  </xdr:oneCellAnchor>
  <xdr:oneCellAnchor>
    <xdr:from>
      <xdr:col>5</xdr:col>
      <xdr:colOff>476250</xdr:colOff>
      <xdr:row>47</xdr:row>
      <xdr:rowOff>448236</xdr:rowOff>
    </xdr:from>
    <xdr:ext cx="526683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AC27A96-5051-4293-B46F-265EEF344108}"/>
            </a:ext>
          </a:extLst>
        </xdr:cNvPr>
        <xdr:cNvSpPr txBox="1"/>
      </xdr:nvSpPr>
      <xdr:spPr>
        <a:xfrm>
          <a:off x="6224868" y="12147177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oneCellAnchor>
    <xdr:from>
      <xdr:col>5</xdr:col>
      <xdr:colOff>1352550</xdr:colOff>
      <xdr:row>47</xdr:row>
      <xdr:rowOff>448236</xdr:rowOff>
    </xdr:from>
    <xdr:ext cx="674672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1DA14A-00F8-4975-82B0-D85B7FEA9C5B}"/>
            </a:ext>
          </a:extLst>
        </xdr:cNvPr>
        <xdr:cNvSpPr txBox="1"/>
      </xdr:nvSpPr>
      <xdr:spPr>
        <a:xfrm>
          <a:off x="7101168" y="12147177"/>
          <a:ext cx="6746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Gearbox</a:t>
          </a:r>
        </a:p>
      </xdr:txBody>
    </xdr:sp>
    <xdr:clientData/>
  </xdr:oneCellAnchor>
  <xdr:twoCellAnchor>
    <xdr:from>
      <xdr:col>5</xdr:col>
      <xdr:colOff>2247900</xdr:colOff>
      <xdr:row>47</xdr:row>
      <xdr:rowOff>419661</xdr:rowOff>
    </xdr:from>
    <xdr:to>
      <xdr:col>5</xdr:col>
      <xdr:colOff>2495550</xdr:colOff>
      <xdr:row>47</xdr:row>
      <xdr:rowOff>667311</xdr:rowOff>
    </xdr:to>
    <xdr:sp macro="" textlink="">
      <xdr:nvSpPr>
        <xdr:cNvPr id="53" name="Star: 5 Points 52">
          <a:extLst>
            <a:ext uri="{FF2B5EF4-FFF2-40B4-BE49-F238E27FC236}">
              <a16:creationId xmlns:a16="http://schemas.microsoft.com/office/drawing/2014/main" id="{D89FEFD0-9A0F-43C1-8C30-05134646A8C1}"/>
            </a:ext>
          </a:extLst>
        </xdr:cNvPr>
        <xdr:cNvSpPr/>
      </xdr:nvSpPr>
      <xdr:spPr>
        <a:xfrm>
          <a:off x="7996518" y="12118602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272400</xdr:colOff>
      <xdr:row>24</xdr:row>
      <xdr:rowOff>239338</xdr:rowOff>
    </xdr:from>
    <xdr:to>
      <xdr:col>6</xdr:col>
      <xdr:colOff>1445544</xdr:colOff>
      <xdr:row>24</xdr:row>
      <xdr:rowOff>821533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0F37C6D-034D-26CC-E73B-5F3AA229E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11097770" y="6095142"/>
          <a:ext cx="1173144" cy="582195"/>
        </a:xfrm>
        <a:prstGeom prst="rect">
          <a:avLst/>
        </a:prstGeom>
      </xdr:spPr>
    </xdr:pic>
    <xdr:clientData/>
  </xdr:twoCellAnchor>
  <xdr:oneCellAnchor>
    <xdr:from>
      <xdr:col>6</xdr:col>
      <xdr:colOff>566032</xdr:colOff>
      <xdr:row>24</xdr:row>
      <xdr:rowOff>390136</xdr:rowOff>
    </xdr:from>
    <xdr:ext cx="526683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722186E-A483-1C62-4E56-D6A121345209}"/>
            </a:ext>
          </a:extLst>
        </xdr:cNvPr>
        <xdr:cNvSpPr txBox="1"/>
      </xdr:nvSpPr>
      <xdr:spPr>
        <a:xfrm>
          <a:off x="11391402" y="6245940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twoCellAnchor editAs="oneCell">
    <xdr:from>
      <xdr:col>6</xdr:col>
      <xdr:colOff>1247717</xdr:colOff>
      <xdr:row>24</xdr:row>
      <xdr:rowOff>232769</xdr:rowOff>
    </xdr:from>
    <xdr:to>
      <xdr:col>6</xdr:col>
      <xdr:colOff>2375175</xdr:colOff>
      <xdr:row>24</xdr:row>
      <xdr:rowOff>822122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42E8873-C45A-BC77-E45E-20FEDDCCE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12073087" y="6088573"/>
          <a:ext cx="1127458" cy="589353"/>
        </a:xfrm>
        <a:prstGeom prst="rect">
          <a:avLst/>
        </a:prstGeom>
      </xdr:spPr>
    </xdr:pic>
    <xdr:clientData/>
  </xdr:twoCellAnchor>
  <xdr:twoCellAnchor>
    <xdr:from>
      <xdr:col>6</xdr:col>
      <xdr:colOff>2161964</xdr:colOff>
      <xdr:row>24</xdr:row>
      <xdr:rowOff>368130</xdr:rowOff>
    </xdr:from>
    <xdr:to>
      <xdr:col>6</xdr:col>
      <xdr:colOff>2409614</xdr:colOff>
      <xdr:row>24</xdr:row>
      <xdr:rowOff>615780</xdr:rowOff>
    </xdr:to>
    <xdr:sp macro="" textlink="">
      <xdr:nvSpPr>
        <xdr:cNvPr id="58" name="Star: 5 Points 57">
          <a:extLst>
            <a:ext uri="{FF2B5EF4-FFF2-40B4-BE49-F238E27FC236}">
              <a16:creationId xmlns:a16="http://schemas.microsoft.com/office/drawing/2014/main" id="{CF485F6E-CCCF-0D3E-92BD-7C1029BB57FF}"/>
            </a:ext>
          </a:extLst>
        </xdr:cNvPr>
        <xdr:cNvSpPr/>
      </xdr:nvSpPr>
      <xdr:spPr>
        <a:xfrm>
          <a:off x="12987334" y="6223934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585662</xdr:colOff>
      <xdr:row>24</xdr:row>
      <xdr:rowOff>171456</xdr:rowOff>
    </xdr:from>
    <xdr:to>
      <xdr:col>3</xdr:col>
      <xdr:colOff>182694</xdr:colOff>
      <xdr:row>24</xdr:row>
      <xdr:rowOff>900376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93C4046-FF16-3E56-CF73-51E9F2973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4034506" y="5799937"/>
          <a:ext cx="728920" cy="2121157"/>
        </a:xfrm>
        <a:prstGeom prst="rect">
          <a:avLst/>
        </a:prstGeom>
      </xdr:spPr>
    </xdr:pic>
    <xdr:clientData/>
  </xdr:twoCellAnchor>
  <xdr:oneCellAnchor>
    <xdr:from>
      <xdr:col>2</xdr:col>
      <xdr:colOff>1133475</xdr:colOff>
      <xdr:row>24</xdr:row>
      <xdr:rowOff>409577</xdr:rowOff>
    </xdr:from>
    <xdr:ext cx="526683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D0FCF164-3013-5AED-CE42-12022B7B67D0}"/>
            </a:ext>
          </a:extLst>
        </xdr:cNvPr>
        <xdr:cNvSpPr txBox="1"/>
      </xdr:nvSpPr>
      <xdr:spPr>
        <a:xfrm>
          <a:off x="3886200" y="6734177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oneCellAnchor>
    <xdr:from>
      <xdr:col>2</xdr:col>
      <xdr:colOff>1885950</xdr:colOff>
      <xdr:row>24</xdr:row>
      <xdr:rowOff>409577</xdr:rowOff>
    </xdr:from>
    <xdr:ext cx="674672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B955DD90-B2EC-0B7A-457F-ACA9422FD599}"/>
            </a:ext>
          </a:extLst>
        </xdr:cNvPr>
        <xdr:cNvSpPr txBox="1"/>
      </xdr:nvSpPr>
      <xdr:spPr>
        <a:xfrm>
          <a:off x="4638675" y="6734177"/>
          <a:ext cx="6746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Gearbox</a:t>
          </a:r>
        </a:p>
      </xdr:txBody>
    </xdr:sp>
    <xdr:clientData/>
  </xdr:oneCellAnchor>
  <xdr:oneCellAnchor>
    <xdr:from>
      <xdr:col>2</xdr:col>
      <xdr:colOff>342900</xdr:colOff>
      <xdr:row>24</xdr:row>
      <xdr:rowOff>409577</xdr:rowOff>
    </xdr:from>
    <xdr:ext cx="667812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F81EA75B-48FC-5593-F559-EE788DA5958A}"/>
            </a:ext>
          </a:extLst>
        </xdr:cNvPr>
        <xdr:cNvSpPr txBox="1"/>
      </xdr:nvSpPr>
      <xdr:spPr>
        <a:xfrm>
          <a:off x="3095625" y="6734177"/>
          <a:ext cx="6678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Encoder</a:t>
          </a:r>
        </a:p>
      </xdr:txBody>
    </xdr:sp>
    <xdr:clientData/>
  </xdr:oneCellAnchor>
  <xdr:twoCellAnchor>
    <xdr:from>
      <xdr:col>2</xdr:col>
      <xdr:colOff>2495550</xdr:colOff>
      <xdr:row>24</xdr:row>
      <xdr:rowOff>381002</xdr:rowOff>
    </xdr:from>
    <xdr:to>
      <xdr:col>3</xdr:col>
      <xdr:colOff>219075</xdr:colOff>
      <xdr:row>24</xdr:row>
      <xdr:rowOff>628652</xdr:rowOff>
    </xdr:to>
    <xdr:sp macro="" textlink="">
      <xdr:nvSpPr>
        <xdr:cNvPr id="80" name="Star: 5 Points 79">
          <a:extLst>
            <a:ext uri="{FF2B5EF4-FFF2-40B4-BE49-F238E27FC236}">
              <a16:creationId xmlns:a16="http://schemas.microsoft.com/office/drawing/2014/main" id="{B90EB9E9-B8CD-29D0-0425-FEDC2A89CCC9}"/>
            </a:ext>
          </a:extLst>
        </xdr:cNvPr>
        <xdr:cNvSpPr/>
      </xdr:nvSpPr>
      <xdr:spPr>
        <a:xfrm>
          <a:off x="5248275" y="6705602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585662</xdr:colOff>
      <xdr:row>47</xdr:row>
      <xdr:rowOff>190507</xdr:rowOff>
    </xdr:from>
    <xdr:to>
      <xdr:col>3</xdr:col>
      <xdr:colOff>182694</xdr:colOff>
      <xdr:row>47</xdr:row>
      <xdr:rowOff>919427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E18FF5D-AE4B-56BF-B003-FE209CED6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4034506" y="11448263"/>
          <a:ext cx="728920" cy="2121157"/>
        </a:xfrm>
        <a:prstGeom prst="rect">
          <a:avLst/>
        </a:prstGeom>
      </xdr:spPr>
    </xdr:pic>
    <xdr:clientData/>
  </xdr:twoCellAnchor>
  <xdr:oneCellAnchor>
    <xdr:from>
      <xdr:col>2</xdr:col>
      <xdr:colOff>1133475</xdr:colOff>
      <xdr:row>47</xdr:row>
      <xdr:rowOff>428628</xdr:rowOff>
    </xdr:from>
    <xdr:ext cx="526683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74CF048-8CF3-035D-034F-B61D9AD7ABF8}"/>
            </a:ext>
          </a:extLst>
        </xdr:cNvPr>
        <xdr:cNvSpPr txBox="1"/>
      </xdr:nvSpPr>
      <xdr:spPr>
        <a:xfrm>
          <a:off x="3886200" y="12382503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oneCellAnchor>
    <xdr:from>
      <xdr:col>2</xdr:col>
      <xdr:colOff>1885950</xdr:colOff>
      <xdr:row>47</xdr:row>
      <xdr:rowOff>428628</xdr:rowOff>
    </xdr:from>
    <xdr:ext cx="674672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1FA35B6-BE28-487E-11B3-C3868346B88F}"/>
            </a:ext>
          </a:extLst>
        </xdr:cNvPr>
        <xdr:cNvSpPr txBox="1"/>
      </xdr:nvSpPr>
      <xdr:spPr>
        <a:xfrm>
          <a:off x="4638675" y="12382503"/>
          <a:ext cx="6746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Gearbox</a:t>
          </a:r>
        </a:p>
      </xdr:txBody>
    </xdr:sp>
    <xdr:clientData/>
  </xdr:oneCellAnchor>
  <xdr:oneCellAnchor>
    <xdr:from>
      <xdr:col>2</xdr:col>
      <xdr:colOff>342900</xdr:colOff>
      <xdr:row>47</xdr:row>
      <xdr:rowOff>428628</xdr:rowOff>
    </xdr:from>
    <xdr:ext cx="667812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D1A9EC7-D85A-3EC7-0C8B-F2908512B183}"/>
            </a:ext>
          </a:extLst>
        </xdr:cNvPr>
        <xdr:cNvSpPr txBox="1"/>
      </xdr:nvSpPr>
      <xdr:spPr>
        <a:xfrm>
          <a:off x="3095625" y="12382503"/>
          <a:ext cx="6678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Encoder</a:t>
          </a:r>
        </a:p>
      </xdr:txBody>
    </xdr:sp>
    <xdr:clientData/>
  </xdr:oneCellAnchor>
  <xdr:twoCellAnchor>
    <xdr:from>
      <xdr:col>2</xdr:col>
      <xdr:colOff>2514600</xdr:colOff>
      <xdr:row>47</xdr:row>
      <xdr:rowOff>400053</xdr:rowOff>
    </xdr:from>
    <xdr:to>
      <xdr:col>3</xdr:col>
      <xdr:colOff>238125</xdr:colOff>
      <xdr:row>47</xdr:row>
      <xdr:rowOff>647703</xdr:rowOff>
    </xdr:to>
    <xdr:sp macro="" textlink="">
      <xdr:nvSpPr>
        <xdr:cNvPr id="85" name="Star: 5 Points 84">
          <a:extLst>
            <a:ext uri="{FF2B5EF4-FFF2-40B4-BE49-F238E27FC236}">
              <a16:creationId xmlns:a16="http://schemas.microsoft.com/office/drawing/2014/main" id="{90B51192-4F39-5FBF-314A-D8AA9DBCF2BB}"/>
            </a:ext>
          </a:extLst>
        </xdr:cNvPr>
        <xdr:cNvSpPr/>
      </xdr:nvSpPr>
      <xdr:spPr>
        <a:xfrm>
          <a:off x="5267325" y="12353928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585662</xdr:colOff>
      <xdr:row>69</xdr:row>
      <xdr:rowOff>190508</xdr:rowOff>
    </xdr:from>
    <xdr:to>
      <xdr:col>3</xdr:col>
      <xdr:colOff>182694</xdr:colOff>
      <xdr:row>69</xdr:row>
      <xdr:rowOff>919428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B9E00739-6F4E-9A5F-E241-B278B4654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4034506" y="16563189"/>
          <a:ext cx="728920" cy="2121157"/>
        </a:xfrm>
        <a:prstGeom prst="rect">
          <a:avLst/>
        </a:prstGeom>
      </xdr:spPr>
    </xdr:pic>
    <xdr:clientData/>
  </xdr:twoCellAnchor>
  <xdr:oneCellAnchor>
    <xdr:from>
      <xdr:col>2</xdr:col>
      <xdr:colOff>1133475</xdr:colOff>
      <xdr:row>69</xdr:row>
      <xdr:rowOff>428629</xdr:rowOff>
    </xdr:from>
    <xdr:ext cx="526683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ED189F1-E196-0F47-62B9-43E806ABF33B}"/>
            </a:ext>
          </a:extLst>
        </xdr:cNvPr>
        <xdr:cNvSpPr txBox="1"/>
      </xdr:nvSpPr>
      <xdr:spPr>
        <a:xfrm>
          <a:off x="3886200" y="17497429"/>
          <a:ext cx="5266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Motor</a:t>
          </a:r>
        </a:p>
      </xdr:txBody>
    </xdr:sp>
    <xdr:clientData/>
  </xdr:oneCellAnchor>
  <xdr:oneCellAnchor>
    <xdr:from>
      <xdr:col>2</xdr:col>
      <xdr:colOff>1885950</xdr:colOff>
      <xdr:row>69</xdr:row>
      <xdr:rowOff>428629</xdr:rowOff>
    </xdr:from>
    <xdr:ext cx="674672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0886EB5-E357-6537-532D-ACE5DACD007F}"/>
            </a:ext>
          </a:extLst>
        </xdr:cNvPr>
        <xdr:cNvSpPr txBox="1"/>
      </xdr:nvSpPr>
      <xdr:spPr>
        <a:xfrm>
          <a:off x="4638675" y="17497429"/>
          <a:ext cx="6746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Gearbox</a:t>
          </a:r>
        </a:p>
      </xdr:txBody>
    </xdr:sp>
    <xdr:clientData/>
  </xdr:oneCellAnchor>
  <xdr:oneCellAnchor>
    <xdr:from>
      <xdr:col>2</xdr:col>
      <xdr:colOff>342900</xdr:colOff>
      <xdr:row>69</xdr:row>
      <xdr:rowOff>428629</xdr:rowOff>
    </xdr:from>
    <xdr:ext cx="667812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33E6F6E-E41B-36F5-0683-9558B57F983C}"/>
            </a:ext>
          </a:extLst>
        </xdr:cNvPr>
        <xdr:cNvSpPr txBox="1"/>
      </xdr:nvSpPr>
      <xdr:spPr>
        <a:xfrm>
          <a:off x="3095625" y="17497429"/>
          <a:ext cx="6678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Encoder</a:t>
          </a:r>
        </a:p>
      </xdr:txBody>
    </xdr:sp>
    <xdr:clientData/>
  </xdr:oneCellAnchor>
  <xdr:twoCellAnchor>
    <xdr:from>
      <xdr:col>3</xdr:col>
      <xdr:colOff>0</xdr:colOff>
      <xdr:row>69</xdr:row>
      <xdr:rowOff>400054</xdr:rowOff>
    </xdr:from>
    <xdr:to>
      <xdr:col>3</xdr:col>
      <xdr:colOff>247650</xdr:colOff>
      <xdr:row>69</xdr:row>
      <xdr:rowOff>647704</xdr:rowOff>
    </xdr:to>
    <xdr:sp macro="" textlink="">
      <xdr:nvSpPr>
        <xdr:cNvPr id="90" name="Star: 5 Points 89">
          <a:extLst>
            <a:ext uri="{FF2B5EF4-FFF2-40B4-BE49-F238E27FC236}">
              <a16:creationId xmlns:a16="http://schemas.microsoft.com/office/drawing/2014/main" id="{4B917E58-454E-5215-31A2-BB019E5EE22A}"/>
            </a:ext>
          </a:extLst>
        </xdr:cNvPr>
        <xdr:cNvSpPr/>
      </xdr:nvSpPr>
      <xdr:spPr>
        <a:xfrm>
          <a:off x="5276850" y="17840329"/>
          <a:ext cx="247650" cy="247650"/>
        </a:xfrm>
        <a:prstGeom prst="star5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914400</xdr:colOff>
      <xdr:row>69</xdr:row>
      <xdr:rowOff>70941</xdr:rowOff>
    </xdr:from>
    <xdr:to>
      <xdr:col>6</xdr:col>
      <xdr:colOff>1590675</xdr:colOff>
      <xdr:row>69</xdr:row>
      <xdr:rowOff>1017726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169254E-EDD4-1168-EA04-B4D9B2E1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25275" y="17120691"/>
          <a:ext cx="676275" cy="946785"/>
        </a:xfrm>
        <a:prstGeom prst="rect">
          <a:avLst/>
        </a:prstGeom>
      </xdr:spPr>
    </xdr:pic>
    <xdr:clientData/>
  </xdr:twoCellAnchor>
  <xdr:twoCellAnchor editAs="oneCell">
    <xdr:from>
      <xdr:col>5</xdr:col>
      <xdr:colOff>847725</xdr:colOff>
      <xdr:row>69</xdr:row>
      <xdr:rowOff>56107</xdr:rowOff>
    </xdr:from>
    <xdr:to>
      <xdr:col>5</xdr:col>
      <xdr:colOff>1524000</xdr:colOff>
      <xdr:row>69</xdr:row>
      <xdr:rowOff>972007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1D28119-5160-D6DF-E625-3544EE61B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34475" y="17105857"/>
          <a:ext cx="676275" cy="915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374229</xdr:colOff>
      <xdr:row>38</xdr:row>
      <xdr:rowOff>87061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550CAD-5294-4DF1-B81B-065FB394D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3422229" cy="713556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22</xdr:col>
      <xdr:colOff>248961</xdr:colOff>
      <xdr:row>38</xdr:row>
      <xdr:rowOff>77194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C23F30-22F6-C15A-9CC7-B5E43A75B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190500"/>
          <a:ext cx="9392961" cy="7125694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39</xdr:col>
      <xdr:colOff>239520</xdr:colOff>
      <xdr:row>41</xdr:row>
      <xdr:rowOff>86801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C7C3F0-6593-AF8F-04CF-B45FD6DF5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20800" y="190500"/>
          <a:ext cx="9993120" cy="77068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544022</xdr:colOff>
      <xdr:row>56</xdr:row>
      <xdr:rowOff>172936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A6A74-AABC-3761-81C7-9E4DE5DD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859222" cy="106504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563074</xdr:colOff>
      <xdr:row>56</xdr:row>
      <xdr:rowOff>163410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1D3DD-7AFF-2076-93B8-2332DD03F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878274" cy="106409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572601</xdr:colOff>
      <xdr:row>56</xdr:row>
      <xdr:rowOff>182463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EB948-4D40-4440-2509-569061A24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887801" cy="106599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572601</xdr:colOff>
      <xdr:row>56</xdr:row>
      <xdr:rowOff>172936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309AD8-D23C-35E1-A586-19ECA6790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887801" cy="106504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553548</xdr:colOff>
      <xdr:row>56</xdr:row>
      <xdr:rowOff>163410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115F46-6B32-1700-79CC-4736C46FC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868748" cy="106409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27</xdr:col>
      <xdr:colOff>544022</xdr:colOff>
      <xdr:row>56</xdr:row>
      <xdr:rowOff>163410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22A237-0BCC-6684-99C0-A337E52C7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190500"/>
          <a:ext cx="7859222" cy="10640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B5CD-EFC2-47EF-8030-418F6D4029E7}">
  <dimension ref="B1:N76"/>
  <sheetViews>
    <sheetView tabSelected="1" zoomScaleNormal="100" workbookViewId="0">
      <selection activeCell="J16" sqref="J16"/>
    </sheetView>
  </sheetViews>
  <sheetFormatPr defaultRowHeight="15" x14ac:dyDescent="0.25"/>
  <cols>
    <col min="1" max="1" width="9.140625" style="2"/>
    <col min="2" max="2" width="32.140625" style="2" bestFit="1" customWidth="1"/>
    <col min="3" max="3" width="37.85546875" style="2" customWidth="1"/>
    <col min="4" max="4" width="7.28515625" style="2" bestFit="1" customWidth="1"/>
    <col min="5" max="7" width="37.85546875" style="2" customWidth="1"/>
    <col min="8" max="9" width="9.140625" style="1"/>
    <col min="10" max="10" width="23.85546875" style="2" bestFit="1" customWidth="1"/>
    <col min="11" max="13" width="9.140625" style="2"/>
    <col min="14" max="14" width="13.7109375" style="2" customWidth="1"/>
    <col min="15" max="16384" width="9.140625" style="2"/>
  </cols>
  <sheetData>
    <row r="1" spans="2:14" ht="15.75" thickBot="1" x14ac:dyDescent="0.3"/>
    <row r="2" spans="2:14" ht="18.75" x14ac:dyDescent="0.25">
      <c r="B2" s="53" t="s">
        <v>0</v>
      </c>
      <c r="C2" s="54"/>
      <c r="D2" s="54"/>
      <c r="E2" s="54"/>
      <c r="F2" s="54"/>
      <c r="G2" s="55"/>
      <c r="H2" s="3"/>
      <c r="I2" s="3"/>
      <c r="J2" s="3"/>
      <c r="K2" s="3"/>
    </row>
    <row r="3" spans="2:14" ht="45.75" customHeight="1" x14ac:dyDescent="0.25">
      <c r="B3" s="27" t="s">
        <v>8</v>
      </c>
      <c r="C3" s="56" t="s">
        <v>7</v>
      </c>
      <c r="D3" s="56"/>
      <c r="E3" s="28" t="s">
        <v>50</v>
      </c>
      <c r="F3" s="32" t="s">
        <v>28</v>
      </c>
      <c r="G3" s="33" t="s">
        <v>24</v>
      </c>
    </row>
    <row r="4" spans="2:14" ht="83.25" customHeight="1" x14ac:dyDescent="0.25">
      <c r="B4" s="9" t="s">
        <v>30</v>
      </c>
      <c r="C4" s="57"/>
      <c r="D4" s="57"/>
      <c r="E4" s="4"/>
      <c r="F4" s="4"/>
      <c r="G4" s="10"/>
    </row>
    <row r="5" spans="2:14" x14ac:dyDescent="0.25">
      <c r="B5" s="11" t="s">
        <v>15</v>
      </c>
      <c r="C5" s="35">
        <v>12</v>
      </c>
      <c r="D5" s="35"/>
      <c r="E5" s="7">
        <v>12</v>
      </c>
      <c r="F5" s="7">
        <v>12</v>
      </c>
      <c r="G5" s="15">
        <v>12</v>
      </c>
    </row>
    <row r="6" spans="2:14" x14ac:dyDescent="0.25">
      <c r="B6" s="11" t="s">
        <v>11</v>
      </c>
      <c r="C6" s="58">
        <f>C29*C26</f>
        <v>7964.5</v>
      </c>
      <c r="D6" s="58"/>
      <c r="E6" s="7">
        <v>9170</v>
      </c>
      <c r="F6" s="7">
        <v>10200</v>
      </c>
      <c r="G6" s="15">
        <v>7140</v>
      </c>
      <c r="N6" s="2">
        <f>F6/C6</f>
        <v>1.2806830309498398</v>
      </c>
    </row>
    <row r="7" spans="2:14" x14ac:dyDescent="0.25">
      <c r="B7" s="9" t="s">
        <v>16</v>
      </c>
      <c r="C7" s="46" t="s">
        <v>18</v>
      </c>
      <c r="D7" s="46"/>
      <c r="E7" s="5">
        <v>6000</v>
      </c>
      <c r="F7" s="5">
        <v>7060</v>
      </c>
      <c r="G7" s="12">
        <v>5260</v>
      </c>
    </row>
    <row r="8" spans="2:14" x14ac:dyDescent="0.25">
      <c r="B8" s="9" t="s">
        <v>14</v>
      </c>
      <c r="C8" s="46" t="s">
        <v>18</v>
      </c>
      <c r="D8" s="46"/>
      <c r="E8" s="5">
        <v>40.5</v>
      </c>
      <c r="F8" s="5">
        <v>45.8</v>
      </c>
      <c r="G8" s="12">
        <v>28.3</v>
      </c>
    </row>
    <row r="9" spans="2:14" x14ac:dyDescent="0.25">
      <c r="B9" s="9" t="s">
        <v>12</v>
      </c>
      <c r="C9" s="46" t="s">
        <v>18</v>
      </c>
      <c r="D9" s="46"/>
      <c r="E9" s="5">
        <v>0.61299999999999999</v>
      </c>
      <c r="F9" s="5">
        <v>0.68100000000000005</v>
      </c>
      <c r="G9" s="12">
        <v>0.81899999999999995</v>
      </c>
    </row>
    <row r="10" spans="2:14" x14ac:dyDescent="0.25">
      <c r="B10" s="9" t="s">
        <v>2</v>
      </c>
      <c r="C10" s="46" t="s">
        <v>18</v>
      </c>
      <c r="D10" s="46"/>
      <c r="E10" s="5">
        <v>1.72</v>
      </c>
      <c r="F10" s="5">
        <v>2.17</v>
      </c>
      <c r="G10" s="12">
        <v>3.14</v>
      </c>
    </row>
    <row r="11" spans="2:14" x14ac:dyDescent="0.25">
      <c r="B11" s="11" t="s">
        <v>17</v>
      </c>
      <c r="C11" s="51">
        <f>C34/1000*C26/C43</f>
        <v>6.5875785000000002</v>
      </c>
      <c r="D11" s="51"/>
      <c r="E11" s="7">
        <v>6.95</v>
      </c>
      <c r="F11" s="7">
        <v>6.96</v>
      </c>
      <c r="G11" s="15">
        <v>12.5</v>
      </c>
    </row>
    <row r="12" spans="2:14" x14ac:dyDescent="0.25">
      <c r="B12" s="11" t="s">
        <v>13</v>
      </c>
      <c r="C12" s="50">
        <f>C35/C26/C43</f>
        <v>22.335112059765208</v>
      </c>
      <c r="D12" s="50"/>
      <c r="E12" s="7">
        <v>20.9</v>
      </c>
      <c r="F12" s="7">
        <v>23.7</v>
      </c>
      <c r="G12" s="15">
        <v>49.4</v>
      </c>
    </row>
    <row r="13" spans="2:14" x14ac:dyDescent="0.25">
      <c r="B13" s="9" t="s">
        <v>4</v>
      </c>
      <c r="C13" s="46" t="s">
        <v>18</v>
      </c>
      <c r="D13" s="46"/>
      <c r="E13" s="5">
        <v>2</v>
      </c>
      <c r="F13" s="5">
        <v>2</v>
      </c>
      <c r="G13" s="12">
        <v>2</v>
      </c>
    </row>
    <row r="14" spans="2:14" x14ac:dyDescent="0.25">
      <c r="B14" s="9" t="s">
        <v>10</v>
      </c>
      <c r="C14" s="46" t="s">
        <v>18</v>
      </c>
      <c r="D14" s="46"/>
      <c r="E14" s="5">
        <v>6.5</v>
      </c>
      <c r="F14" s="5">
        <v>6.5</v>
      </c>
      <c r="G14" s="12">
        <v>10</v>
      </c>
    </row>
    <row r="15" spans="2:14" x14ac:dyDescent="0.25">
      <c r="B15" s="11" t="s">
        <v>48</v>
      </c>
      <c r="C15" s="51">
        <f>(C34/(C43*C26))/C32</f>
        <v>10.718859582253392</v>
      </c>
      <c r="D15" s="51"/>
      <c r="E15" s="7">
        <v>12.1</v>
      </c>
      <c r="F15" s="7">
        <v>10.9</v>
      </c>
      <c r="G15" s="15">
        <v>15.8</v>
      </c>
      <c r="N15" s="2">
        <f>F16/C16</f>
        <v>1.3183501789189527</v>
      </c>
    </row>
    <row r="16" spans="2:14" x14ac:dyDescent="0.25">
      <c r="B16" s="11" t="s">
        <v>49</v>
      </c>
      <c r="C16" s="50">
        <f>C29/C5*C26</f>
        <v>663.70833333333337</v>
      </c>
      <c r="D16" s="50"/>
      <c r="E16" s="7">
        <v>790</v>
      </c>
      <c r="F16" s="7">
        <v>875</v>
      </c>
      <c r="G16" s="15">
        <v>606</v>
      </c>
      <c r="J16" s="1"/>
    </row>
    <row r="17" spans="2:11" x14ac:dyDescent="0.25">
      <c r="B17" s="9" t="s">
        <v>5</v>
      </c>
      <c r="C17" s="46" t="s">
        <v>18</v>
      </c>
      <c r="D17" s="46"/>
      <c r="E17" s="5">
        <v>54</v>
      </c>
      <c r="F17" s="5">
        <v>54</v>
      </c>
      <c r="G17" s="12">
        <v>54</v>
      </c>
    </row>
    <row r="18" spans="2:11" x14ac:dyDescent="0.25">
      <c r="B18" s="9" t="s">
        <v>6</v>
      </c>
      <c r="C18" s="46" t="s">
        <v>31</v>
      </c>
      <c r="D18" s="46"/>
      <c r="E18" s="5" t="s">
        <v>20</v>
      </c>
      <c r="F18" s="5" t="s">
        <v>20</v>
      </c>
      <c r="G18" s="12" t="s">
        <v>25</v>
      </c>
    </row>
    <row r="19" spans="2:11" x14ac:dyDescent="0.25">
      <c r="B19" s="11" t="s">
        <v>44</v>
      </c>
      <c r="C19" s="35" t="s">
        <v>18</v>
      </c>
      <c r="D19" s="35"/>
      <c r="E19" s="7">
        <v>6</v>
      </c>
      <c r="F19" s="7">
        <v>6</v>
      </c>
      <c r="G19" s="15">
        <v>8</v>
      </c>
    </row>
    <row r="20" spans="2:11" x14ac:dyDescent="0.25">
      <c r="B20" s="11" t="s">
        <v>47</v>
      </c>
      <c r="C20" s="35" t="s">
        <v>18</v>
      </c>
      <c r="D20" s="35"/>
      <c r="E20" s="7">
        <v>68.52</v>
      </c>
      <c r="F20" s="7">
        <v>59.79</v>
      </c>
      <c r="G20" s="15">
        <v>72.84</v>
      </c>
    </row>
    <row r="21" spans="2:11" x14ac:dyDescent="0.25">
      <c r="B21" s="9" t="s">
        <v>26</v>
      </c>
      <c r="C21" s="46" t="s">
        <v>18</v>
      </c>
      <c r="D21" s="46"/>
      <c r="E21" s="5" t="s">
        <v>27</v>
      </c>
      <c r="F21" s="5" t="s">
        <v>27</v>
      </c>
      <c r="G21" s="12" t="s">
        <v>29</v>
      </c>
    </row>
    <row r="22" spans="2:11" x14ac:dyDescent="0.25">
      <c r="B22" s="13"/>
      <c r="C22" s="46"/>
      <c r="D22" s="46"/>
      <c r="E22" s="5"/>
      <c r="F22" s="5"/>
      <c r="G22" s="12"/>
    </row>
    <row r="23" spans="2:11" ht="18.75" x14ac:dyDescent="0.25">
      <c r="B23" s="42" t="s">
        <v>3</v>
      </c>
      <c r="C23" s="43"/>
      <c r="D23" s="43"/>
      <c r="E23" s="43"/>
      <c r="F23" s="43"/>
      <c r="G23" s="44"/>
      <c r="H23" s="3"/>
      <c r="I23" s="3"/>
      <c r="J23" s="3"/>
      <c r="K23" s="3"/>
    </row>
    <row r="24" spans="2:11" ht="45.75" customHeight="1" x14ac:dyDescent="0.25">
      <c r="B24" s="27" t="s">
        <v>8</v>
      </c>
      <c r="C24" s="45" t="s">
        <v>9</v>
      </c>
      <c r="D24" s="45"/>
      <c r="E24" s="28" t="s">
        <v>39</v>
      </c>
      <c r="F24" s="28" t="s">
        <v>39</v>
      </c>
      <c r="G24" s="33" t="s">
        <v>45</v>
      </c>
    </row>
    <row r="25" spans="2:11" ht="83.25" customHeight="1" x14ac:dyDescent="0.25">
      <c r="B25" s="9" t="s">
        <v>30</v>
      </c>
      <c r="C25" s="46"/>
      <c r="D25" s="46"/>
      <c r="E25" s="5"/>
      <c r="F25" s="5"/>
      <c r="G25" s="12"/>
    </row>
    <row r="26" spans="2:11" x14ac:dyDescent="0.25">
      <c r="B26" s="11" t="s">
        <v>1</v>
      </c>
      <c r="C26" s="35">
        <v>46.85</v>
      </c>
      <c r="D26" s="35"/>
      <c r="E26" s="6">
        <f>3375/64</f>
        <v>52.734375</v>
      </c>
      <c r="F26" s="6">
        <f>3375/64</f>
        <v>52.734375</v>
      </c>
      <c r="G26" s="17">
        <f>4554/130</f>
        <v>35.030769230769231</v>
      </c>
    </row>
    <row r="27" spans="2:11" x14ac:dyDescent="0.25">
      <c r="B27" s="11" t="s">
        <v>37</v>
      </c>
      <c r="C27" s="35" t="s">
        <v>18</v>
      </c>
      <c r="D27" s="35"/>
      <c r="E27" s="6">
        <v>6000</v>
      </c>
      <c r="F27" s="6">
        <v>6000</v>
      </c>
      <c r="G27" s="15">
        <v>10000</v>
      </c>
    </row>
    <row r="28" spans="2:11" x14ac:dyDescent="0.25">
      <c r="B28" s="11" t="s">
        <v>43</v>
      </c>
      <c r="C28" s="35" t="s">
        <v>18</v>
      </c>
      <c r="D28" s="35"/>
      <c r="E28" s="6">
        <v>800</v>
      </c>
      <c r="F28" s="6">
        <v>800</v>
      </c>
      <c r="G28" s="15">
        <v>900</v>
      </c>
    </row>
    <row r="29" spans="2:11" x14ac:dyDescent="0.25">
      <c r="B29" s="11" t="s">
        <v>11</v>
      </c>
      <c r="C29" s="35">
        <v>170</v>
      </c>
      <c r="D29" s="35"/>
      <c r="E29" s="22">
        <f>E6/E26</f>
        <v>173.89037037037036</v>
      </c>
      <c r="F29" s="22">
        <f>F6/F26</f>
        <v>193.42222222222222</v>
      </c>
      <c r="G29" s="23">
        <f>G6/G26</f>
        <v>203.82081686429513</v>
      </c>
    </row>
    <row r="30" spans="2:11" x14ac:dyDescent="0.25">
      <c r="B30" s="24" t="s">
        <v>16</v>
      </c>
      <c r="C30" s="25">
        <v>140</v>
      </c>
      <c r="D30" s="26" t="s">
        <v>36</v>
      </c>
      <c r="E30" s="22">
        <f>E7/E26</f>
        <v>113.77777777777777</v>
      </c>
      <c r="F30" s="22">
        <f>F7/F26</f>
        <v>133.87851851851852</v>
      </c>
      <c r="G30" s="23">
        <f>G7/G26</f>
        <v>150.15371102327623</v>
      </c>
    </row>
    <row r="31" spans="2:11" x14ac:dyDescent="0.25">
      <c r="B31" s="9" t="s">
        <v>14</v>
      </c>
      <c r="C31" s="46">
        <v>100</v>
      </c>
      <c r="D31" s="46"/>
      <c r="E31" s="5" t="s">
        <v>18</v>
      </c>
      <c r="F31" s="5" t="s">
        <v>18</v>
      </c>
      <c r="G31" s="12" t="s">
        <v>18</v>
      </c>
    </row>
    <row r="32" spans="2:11" x14ac:dyDescent="0.25">
      <c r="B32" s="16" t="s">
        <v>12</v>
      </c>
      <c r="C32" s="8">
        <v>0.28000000000000003</v>
      </c>
      <c r="D32" s="21" t="s">
        <v>36</v>
      </c>
      <c r="E32" s="5" t="s">
        <v>18</v>
      </c>
      <c r="F32" s="5" t="s">
        <v>18</v>
      </c>
      <c r="G32" s="12" t="s">
        <v>18</v>
      </c>
    </row>
    <row r="33" spans="2:7" x14ac:dyDescent="0.25">
      <c r="B33" s="9" t="s">
        <v>2</v>
      </c>
      <c r="C33" s="46">
        <v>1.8</v>
      </c>
      <c r="D33" s="46"/>
      <c r="E33" s="5" t="s">
        <v>18</v>
      </c>
      <c r="F33" s="5" t="s">
        <v>18</v>
      </c>
      <c r="G33" s="12" t="s">
        <v>18</v>
      </c>
    </row>
    <row r="34" spans="2:7" x14ac:dyDescent="0.25">
      <c r="B34" s="24" t="s">
        <v>17</v>
      </c>
      <c r="C34" s="25">
        <f>8.6*9.81/1000*1000</f>
        <v>84.366</v>
      </c>
      <c r="D34" s="26" t="s">
        <v>36</v>
      </c>
      <c r="E34" s="22">
        <f>E11*E26*E43</f>
        <v>216.2373046875</v>
      </c>
      <c r="F34" s="22">
        <f>F11*F26*F43</f>
        <v>216.54843749999998</v>
      </c>
      <c r="G34" s="23">
        <f>G11*G26*G43</f>
        <v>354.68653846153848</v>
      </c>
    </row>
    <row r="35" spans="2:7" x14ac:dyDescent="0.25">
      <c r="B35" s="11" t="s">
        <v>13</v>
      </c>
      <c r="C35" s="35">
        <f>(6.4*9.81*1000)/100</f>
        <v>627.84</v>
      </c>
      <c r="D35" s="35"/>
      <c r="E35" s="22">
        <f>E12*E26*E43</f>
        <v>650.267578125</v>
      </c>
      <c r="F35" s="22">
        <f>F12*F26*F43</f>
        <v>737.384765625</v>
      </c>
      <c r="G35" s="23">
        <f>G12*G26*G43</f>
        <v>1401.7212000000002</v>
      </c>
    </row>
    <row r="36" spans="2:7" x14ac:dyDescent="0.25">
      <c r="B36" s="11" t="s">
        <v>48</v>
      </c>
      <c r="C36" s="52">
        <f>(C34/(C43))/C32</f>
        <v>502.17857142857144</v>
      </c>
      <c r="D36" s="52"/>
      <c r="E36" s="22">
        <f>E15*E26</f>
        <v>638.0859375</v>
      </c>
      <c r="F36" s="22">
        <f>F15*F26</f>
        <v>574.8046875</v>
      </c>
      <c r="G36" s="23">
        <f>G15*G26</f>
        <v>553.48615384615391</v>
      </c>
    </row>
    <row r="37" spans="2:7" x14ac:dyDescent="0.25">
      <c r="B37" s="9" t="s">
        <v>4</v>
      </c>
      <c r="C37" s="46">
        <v>4</v>
      </c>
      <c r="D37" s="46"/>
      <c r="E37" s="5">
        <v>4</v>
      </c>
      <c r="F37" s="5">
        <v>4</v>
      </c>
      <c r="G37" s="12">
        <v>4</v>
      </c>
    </row>
    <row r="38" spans="2:7" x14ac:dyDescent="0.25">
      <c r="B38" s="9" t="s">
        <v>10</v>
      </c>
      <c r="C38" s="46">
        <v>12.5</v>
      </c>
      <c r="D38" s="46"/>
      <c r="E38" s="5">
        <v>10.35</v>
      </c>
      <c r="F38" s="5">
        <v>10.35</v>
      </c>
      <c r="G38" s="12">
        <v>13.45</v>
      </c>
    </row>
    <row r="39" spans="2:7" x14ac:dyDescent="0.25">
      <c r="B39" s="9" t="s">
        <v>5</v>
      </c>
      <c r="C39" s="46">
        <v>101</v>
      </c>
      <c r="D39" s="46"/>
      <c r="E39" s="5">
        <f>54+68</f>
        <v>122</v>
      </c>
      <c r="F39" s="5">
        <f>54+68</f>
        <v>122</v>
      </c>
      <c r="G39" s="12">
        <v>112</v>
      </c>
    </row>
    <row r="40" spans="2:7" x14ac:dyDescent="0.25">
      <c r="B40" s="11" t="s">
        <v>33</v>
      </c>
      <c r="C40" s="35" t="s">
        <v>35</v>
      </c>
      <c r="D40" s="35"/>
      <c r="E40" s="7" t="s">
        <v>57</v>
      </c>
      <c r="F40" s="7" t="s">
        <v>57</v>
      </c>
      <c r="G40" s="15" t="s">
        <v>56</v>
      </c>
    </row>
    <row r="41" spans="2:7" x14ac:dyDescent="0.25">
      <c r="B41" s="11" t="s">
        <v>19</v>
      </c>
      <c r="C41" s="35">
        <v>2.8</v>
      </c>
      <c r="D41" s="35"/>
      <c r="E41" s="7">
        <v>5.6</v>
      </c>
      <c r="F41" s="7">
        <v>5.6</v>
      </c>
      <c r="G41" s="15">
        <v>12</v>
      </c>
    </row>
    <row r="42" spans="2:7" x14ac:dyDescent="0.25">
      <c r="B42" s="11" t="s">
        <v>47</v>
      </c>
      <c r="C42" s="35" t="s">
        <v>23</v>
      </c>
      <c r="D42" s="35"/>
      <c r="E42" s="7">
        <f>E20+96.63</f>
        <v>165.14999999999998</v>
      </c>
      <c r="F42" s="7">
        <f>F20+96.63</f>
        <v>156.41999999999999</v>
      </c>
      <c r="G42" s="17">
        <f>G20+100.21</f>
        <v>173.05</v>
      </c>
    </row>
    <row r="43" spans="2:7" x14ac:dyDescent="0.25">
      <c r="B43" s="9" t="s">
        <v>21</v>
      </c>
      <c r="C43" s="47">
        <v>0.6</v>
      </c>
      <c r="D43" s="47"/>
      <c r="E43" s="5">
        <v>0.59</v>
      </c>
      <c r="F43" s="5">
        <v>0.59</v>
      </c>
      <c r="G43" s="12">
        <v>0.81</v>
      </c>
    </row>
    <row r="44" spans="2:7" x14ac:dyDescent="0.25">
      <c r="B44" s="9" t="s">
        <v>26</v>
      </c>
      <c r="C44" s="46"/>
      <c r="D44" s="46"/>
      <c r="E44" s="5" t="s">
        <v>38</v>
      </c>
      <c r="F44" s="5" t="s">
        <v>38</v>
      </c>
      <c r="G44" s="12" t="s">
        <v>46</v>
      </c>
    </row>
    <row r="45" spans="2:7" x14ac:dyDescent="0.25">
      <c r="B45" s="48"/>
      <c r="C45" s="46"/>
      <c r="D45" s="46"/>
      <c r="E45" s="46"/>
      <c r="F45" s="46"/>
      <c r="G45" s="49"/>
    </row>
    <row r="46" spans="2:7" x14ac:dyDescent="0.25">
      <c r="B46" s="48"/>
      <c r="C46" s="46"/>
      <c r="D46" s="46"/>
      <c r="E46" s="46"/>
      <c r="F46" s="46"/>
      <c r="G46" s="49"/>
    </row>
    <row r="47" spans="2:7" ht="45" x14ac:dyDescent="0.25">
      <c r="B47" s="27" t="s">
        <v>8</v>
      </c>
      <c r="C47" s="45" t="s">
        <v>9</v>
      </c>
      <c r="D47" s="45"/>
      <c r="E47" s="28" t="s">
        <v>41</v>
      </c>
      <c r="F47" s="32" t="s">
        <v>41</v>
      </c>
      <c r="G47" s="29"/>
    </row>
    <row r="48" spans="2:7" ht="83.25" customHeight="1" x14ac:dyDescent="0.25">
      <c r="B48" s="9" t="s">
        <v>30</v>
      </c>
      <c r="C48" s="46"/>
      <c r="D48" s="46"/>
      <c r="E48" s="5"/>
      <c r="F48" s="5"/>
      <c r="G48" s="12"/>
    </row>
    <row r="49" spans="2:7" x14ac:dyDescent="0.25">
      <c r="B49" s="11" t="s">
        <v>1</v>
      </c>
      <c r="C49" s="35">
        <v>46.85</v>
      </c>
      <c r="D49" s="35"/>
      <c r="E49" s="6">
        <f>3375/64</f>
        <v>52.734375</v>
      </c>
      <c r="F49" s="6">
        <f>3375/64</f>
        <v>52.734375</v>
      </c>
      <c r="G49" s="14"/>
    </row>
    <row r="50" spans="2:7" x14ac:dyDescent="0.25">
      <c r="B50" s="11" t="s">
        <v>37</v>
      </c>
      <c r="C50" s="35" t="s">
        <v>18</v>
      </c>
      <c r="D50" s="35"/>
      <c r="E50" s="6">
        <v>8000</v>
      </c>
      <c r="F50" s="6">
        <v>8000</v>
      </c>
      <c r="G50" s="12"/>
    </row>
    <row r="51" spans="2:7" x14ac:dyDescent="0.25">
      <c r="B51" s="11" t="s">
        <v>43</v>
      </c>
      <c r="C51" s="35"/>
      <c r="D51" s="35"/>
      <c r="E51" s="6">
        <v>1200</v>
      </c>
      <c r="F51" s="6">
        <v>1200</v>
      </c>
      <c r="G51" s="15"/>
    </row>
    <row r="52" spans="2:7" x14ac:dyDescent="0.25">
      <c r="B52" s="11" t="s">
        <v>11</v>
      </c>
      <c r="C52" s="35">
        <v>170</v>
      </c>
      <c r="D52" s="35"/>
      <c r="E52" s="22">
        <f>E6/E49</f>
        <v>173.89037037037036</v>
      </c>
      <c r="F52" s="22">
        <f>F6/F49</f>
        <v>193.42222222222222</v>
      </c>
      <c r="G52" s="17"/>
    </row>
    <row r="53" spans="2:7" x14ac:dyDescent="0.25">
      <c r="B53" s="24" t="s">
        <v>16</v>
      </c>
      <c r="C53" s="25">
        <v>140</v>
      </c>
      <c r="D53" s="26" t="s">
        <v>36</v>
      </c>
      <c r="E53" s="22">
        <f>E7/E49</f>
        <v>113.77777777777777</v>
      </c>
      <c r="F53" s="22">
        <f>F7/F49</f>
        <v>133.87851851851852</v>
      </c>
      <c r="G53" s="17"/>
    </row>
    <row r="54" spans="2:7" x14ac:dyDescent="0.25">
      <c r="B54" s="9" t="s">
        <v>14</v>
      </c>
      <c r="C54" s="46">
        <v>100</v>
      </c>
      <c r="D54" s="46"/>
      <c r="E54" s="5" t="s">
        <v>18</v>
      </c>
      <c r="F54" s="5" t="s">
        <v>18</v>
      </c>
      <c r="G54" s="12"/>
    </row>
    <row r="55" spans="2:7" x14ac:dyDescent="0.25">
      <c r="B55" s="16" t="s">
        <v>12</v>
      </c>
      <c r="C55" s="8">
        <v>0.28000000000000003</v>
      </c>
      <c r="D55" s="21" t="s">
        <v>36</v>
      </c>
      <c r="E55" s="5" t="s">
        <v>18</v>
      </c>
      <c r="F55" s="5" t="s">
        <v>18</v>
      </c>
      <c r="G55" s="12"/>
    </row>
    <row r="56" spans="2:7" x14ac:dyDescent="0.25">
      <c r="B56" s="9" t="s">
        <v>2</v>
      </c>
      <c r="C56" s="46">
        <v>1.8</v>
      </c>
      <c r="D56" s="46"/>
      <c r="E56" s="5" t="s">
        <v>18</v>
      </c>
      <c r="F56" s="5" t="s">
        <v>18</v>
      </c>
      <c r="G56" s="12"/>
    </row>
    <row r="57" spans="2:7" x14ac:dyDescent="0.25">
      <c r="B57" s="24" t="s">
        <v>17</v>
      </c>
      <c r="C57" s="25">
        <f>8.6*9.81/1000*1000</f>
        <v>84.366</v>
      </c>
      <c r="D57" s="26" t="s">
        <v>36</v>
      </c>
      <c r="E57" s="22">
        <f>E11*E49*E65</f>
        <v>216.2373046875</v>
      </c>
      <c r="F57" s="22">
        <f>F11*F49*F65</f>
        <v>216.54843749999998</v>
      </c>
      <c r="G57" s="15"/>
    </row>
    <row r="58" spans="2:7" x14ac:dyDescent="0.25">
      <c r="B58" s="11" t="s">
        <v>13</v>
      </c>
      <c r="C58" s="35">
        <f>(6.4*9.81*1000)/100</f>
        <v>627.84</v>
      </c>
      <c r="D58" s="35"/>
      <c r="E58" s="22">
        <f>E12*E49*E65</f>
        <v>650.267578125</v>
      </c>
      <c r="F58" s="22">
        <f>F12*F49*F65</f>
        <v>737.384765625</v>
      </c>
      <c r="G58" s="15"/>
    </row>
    <row r="59" spans="2:7" x14ac:dyDescent="0.25">
      <c r="B59" s="9" t="s">
        <v>4</v>
      </c>
      <c r="C59" s="46">
        <v>4</v>
      </c>
      <c r="D59" s="46"/>
      <c r="E59" s="5">
        <v>4</v>
      </c>
      <c r="F59" s="5">
        <v>4</v>
      </c>
      <c r="G59" s="12"/>
    </row>
    <row r="60" spans="2:7" x14ac:dyDescent="0.25">
      <c r="B60" s="9" t="s">
        <v>10</v>
      </c>
      <c r="C60" s="46">
        <v>12.5</v>
      </c>
      <c r="D60" s="46"/>
      <c r="E60" s="5">
        <v>10.35</v>
      </c>
      <c r="F60" s="5">
        <v>10.35</v>
      </c>
      <c r="G60" s="12"/>
    </row>
    <row r="61" spans="2:7" x14ac:dyDescent="0.25">
      <c r="B61" s="9" t="s">
        <v>5</v>
      </c>
      <c r="C61" s="46">
        <v>101</v>
      </c>
      <c r="D61" s="46"/>
      <c r="E61" s="5">
        <f>54+68</f>
        <v>122</v>
      </c>
      <c r="F61" s="5">
        <f>54+68</f>
        <v>122</v>
      </c>
      <c r="G61" s="12"/>
    </row>
    <row r="62" spans="2:7" x14ac:dyDescent="0.25">
      <c r="B62" s="11" t="s">
        <v>33</v>
      </c>
      <c r="C62" s="35" t="s">
        <v>35</v>
      </c>
      <c r="D62" s="35"/>
      <c r="E62" s="7" t="s">
        <v>42</v>
      </c>
      <c r="F62" s="7" t="s">
        <v>42</v>
      </c>
      <c r="G62" s="12"/>
    </row>
    <row r="63" spans="2:7" x14ac:dyDescent="0.25">
      <c r="B63" s="11" t="s">
        <v>19</v>
      </c>
      <c r="C63" s="35">
        <v>2.8</v>
      </c>
      <c r="D63" s="35"/>
      <c r="E63" s="7">
        <v>19</v>
      </c>
      <c r="F63" s="7">
        <v>19</v>
      </c>
      <c r="G63" s="15"/>
    </row>
    <row r="64" spans="2:7" x14ac:dyDescent="0.25">
      <c r="B64" s="11" t="s">
        <v>22</v>
      </c>
      <c r="C64" s="35" t="str">
        <f>C42</f>
        <v>45.95 USD</v>
      </c>
      <c r="D64" s="35"/>
      <c r="E64" s="7">
        <f>E20+118.94</f>
        <v>187.45999999999998</v>
      </c>
      <c r="F64" s="7">
        <f>F20+118.94</f>
        <v>178.73</v>
      </c>
      <c r="G64" s="15"/>
    </row>
    <row r="65" spans="2:7" x14ac:dyDescent="0.25">
      <c r="B65" s="9" t="s">
        <v>21</v>
      </c>
      <c r="C65" s="47">
        <v>0.6</v>
      </c>
      <c r="D65" s="47"/>
      <c r="E65" s="5">
        <v>0.59</v>
      </c>
      <c r="F65" s="5">
        <v>0.59</v>
      </c>
      <c r="G65" s="12"/>
    </row>
    <row r="66" spans="2:7" x14ac:dyDescent="0.25">
      <c r="B66" s="9" t="s">
        <v>26</v>
      </c>
      <c r="C66" s="46"/>
      <c r="D66" s="46"/>
      <c r="E66" s="5" t="s">
        <v>40</v>
      </c>
      <c r="F66" s="5" t="s">
        <v>40</v>
      </c>
      <c r="G66" s="12"/>
    </row>
    <row r="67" spans="2:7" x14ac:dyDescent="0.25">
      <c r="B67" s="13"/>
      <c r="C67" s="40"/>
      <c r="D67" s="41"/>
      <c r="E67" s="5"/>
      <c r="F67" s="5"/>
      <c r="G67" s="12"/>
    </row>
    <row r="68" spans="2:7" ht="18.75" x14ac:dyDescent="0.25">
      <c r="B68" s="42" t="s">
        <v>51</v>
      </c>
      <c r="C68" s="43"/>
      <c r="D68" s="43"/>
      <c r="E68" s="43"/>
      <c r="F68" s="43"/>
      <c r="G68" s="44"/>
    </row>
    <row r="69" spans="2:7" ht="45" x14ac:dyDescent="0.25">
      <c r="B69" s="27" t="s">
        <v>8</v>
      </c>
      <c r="C69" s="45" t="s">
        <v>9</v>
      </c>
      <c r="D69" s="45"/>
      <c r="E69" s="28"/>
      <c r="F69" s="32" t="s">
        <v>59</v>
      </c>
      <c r="G69" s="33" t="s">
        <v>52</v>
      </c>
    </row>
    <row r="70" spans="2:7" ht="83.25" customHeight="1" x14ac:dyDescent="0.25">
      <c r="B70" s="9" t="s">
        <v>30</v>
      </c>
      <c r="C70" s="46"/>
      <c r="D70" s="46"/>
      <c r="E70" s="5"/>
      <c r="F70" s="5"/>
      <c r="G70" s="12"/>
    </row>
    <row r="71" spans="2:7" x14ac:dyDescent="0.25">
      <c r="B71" s="9" t="s">
        <v>54</v>
      </c>
      <c r="C71" s="35">
        <v>2</v>
      </c>
      <c r="D71" s="35"/>
      <c r="E71" s="30"/>
      <c r="F71" s="30">
        <v>2</v>
      </c>
      <c r="G71" s="31">
        <v>3</v>
      </c>
    </row>
    <row r="72" spans="2:7" x14ac:dyDescent="0.25">
      <c r="B72" s="11" t="s">
        <v>53</v>
      </c>
      <c r="C72" s="35">
        <v>12</v>
      </c>
      <c r="D72" s="35"/>
      <c r="E72" s="6"/>
      <c r="F72" s="30">
        <v>512</v>
      </c>
      <c r="G72" s="15">
        <v>1024</v>
      </c>
    </row>
    <row r="73" spans="2:7" x14ac:dyDescent="0.25">
      <c r="B73" s="11" t="s">
        <v>34</v>
      </c>
      <c r="C73" s="35" t="s">
        <v>32</v>
      </c>
      <c r="D73" s="35"/>
      <c r="E73" s="7"/>
      <c r="F73" s="7" t="s">
        <v>58</v>
      </c>
      <c r="G73" s="15" t="s">
        <v>55</v>
      </c>
    </row>
    <row r="74" spans="2:7" x14ac:dyDescent="0.25">
      <c r="B74" s="11" t="s">
        <v>5</v>
      </c>
      <c r="C74" s="36">
        <v>101</v>
      </c>
      <c r="D74" s="37"/>
      <c r="E74" s="7"/>
      <c r="F74" s="7">
        <f>F61+9</f>
        <v>131</v>
      </c>
      <c r="G74" s="15">
        <f>G39+5</f>
        <v>117</v>
      </c>
    </row>
    <row r="75" spans="2:7" x14ac:dyDescent="0.25">
      <c r="B75" s="11" t="s">
        <v>22</v>
      </c>
      <c r="C75" s="36" t="str">
        <f>C42</f>
        <v>45.95 USD</v>
      </c>
      <c r="D75" s="37"/>
      <c r="E75" s="7"/>
      <c r="F75" s="7">
        <f>F64+96.42</f>
        <v>275.14999999999998</v>
      </c>
      <c r="G75" s="17">
        <f>G42+100.1</f>
        <v>273.14999999999998</v>
      </c>
    </row>
    <row r="76" spans="2:7" ht="45.75" thickBot="1" x14ac:dyDescent="0.3">
      <c r="B76" s="18" t="s">
        <v>26</v>
      </c>
      <c r="C76" s="38"/>
      <c r="D76" s="39"/>
      <c r="E76" s="19"/>
      <c r="F76" s="34" t="s">
        <v>61</v>
      </c>
      <c r="G76" s="20" t="s">
        <v>60</v>
      </c>
    </row>
  </sheetData>
  <mergeCells count="68">
    <mergeCell ref="C13:D13"/>
    <mergeCell ref="C14:D14"/>
    <mergeCell ref="C17:D17"/>
    <mergeCell ref="C18:D18"/>
    <mergeCell ref="C8:D8"/>
    <mergeCell ref="C9:D9"/>
    <mergeCell ref="C10:D10"/>
    <mergeCell ref="C11:D11"/>
    <mergeCell ref="C12:D12"/>
    <mergeCell ref="C3:D3"/>
    <mergeCell ref="C4:D4"/>
    <mergeCell ref="C5:D5"/>
    <mergeCell ref="C6:D6"/>
    <mergeCell ref="C7:D7"/>
    <mergeCell ref="C19:D19"/>
    <mergeCell ref="C20:D20"/>
    <mergeCell ref="C21:D21"/>
    <mergeCell ref="C22:D22"/>
    <mergeCell ref="C25:D25"/>
    <mergeCell ref="C24:D24"/>
    <mergeCell ref="C39:D39"/>
    <mergeCell ref="C40:D40"/>
    <mergeCell ref="C26:D26"/>
    <mergeCell ref="C29:D29"/>
    <mergeCell ref="C31:D31"/>
    <mergeCell ref="C33:D33"/>
    <mergeCell ref="B2:G2"/>
    <mergeCell ref="B23:G23"/>
    <mergeCell ref="C43:D43"/>
    <mergeCell ref="C44:D44"/>
    <mergeCell ref="C58:D58"/>
    <mergeCell ref="C52:D52"/>
    <mergeCell ref="C54:D54"/>
    <mergeCell ref="C56:D56"/>
    <mergeCell ref="C47:D47"/>
    <mergeCell ref="C48:D48"/>
    <mergeCell ref="C49:D49"/>
    <mergeCell ref="C50:D50"/>
    <mergeCell ref="C41:D41"/>
    <mergeCell ref="C42:D42"/>
    <mergeCell ref="C27:D27"/>
    <mergeCell ref="C28:D28"/>
    <mergeCell ref="C65:D65"/>
    <mergeCell ref="C66:D66"/>
    <mergeCell ref="B45:G46"/>
    <mergeCell ref="C16:D16"/>
    <mergeCell ref="C15:D15"/>
    <mergeCell ref="C36:D36"/>
    <mergeCell ref="C63:D63"/>
    <mergeCell ref="C64:D64"/>
    <mergeCell ref="C51:D51"/>
    <mergeCell ref="C59:D59"/>
    <mergeCell ref="C60:D60"/>
    <mergeCell ref="C61:D61"/>
    <mergeCell ref="C62:D62"/>
    <mergeCell ref="C35:D35"/>
    <mergeCell ref="C37:D37"/>
    <mergeCell ref="C38:D38"/>
    <mergeCell ref="C73:D73"/>
    <mergeCell ref="C74:D74"/>
    <mergeCell ref="C75:D75"/>
    <mergeCell ref="C76:D76"/>
    <mergeCell ref="C67:D67"/>
    <mergeCell ref="B68:G68"/>
    <mergeCell ref="C69:D69"/>
    <mergeCell ref="C70:D70"/>
    <mergeCell ref="C71:D71"/>
    <mergeCell ref="C72:D7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5DFA-1C74-4212-8C2B-CB8FBAD1891A}">
  <dimension ref="A1"/>
  <sheetViews>
    <sheetView topLeftCell="R8" zoomScale="160" zoomScaleNormal="160" workbookViewId="0">
      <selection activeCell="AP17" sqref="AP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5A9D-2181-4D18-B6E3-F6652B2DEA42}">
  <dimension ref="A1"/>
  <sheetViews>
    <sheetView zoomScaleNormal="100" workbookViewId="0">
      <selection activeCell="O13" sqref="O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4D6F-C194-496E-908B-8722C2FF734F}">
  <dimension ref="A1"/>
  <sheetViews>
    <sheetView workbookViewId="0">
      <selection activeCell="P15" sqref="P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56FF-353E-4F06-A0E0-52A368D20F9F}">
  <dimension ref="A1"/>
  <sheetViews>
    <sheetView workbookViewId="0">
      <selection activeCell="R15" sqref="R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4FB5-48BA-44CC-BCB7-41445CFC65FE}">
  <dimension ref="A1"/>
  <sheetViews>
    <sheetView workbookViewId="0">
      <selection activeCell="S17" sqref="S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E985-08EF-4FD7-9196-CD126050CF0D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Comparison</vt:lpstr>
      <vt:lpstr>Pololu</vt:lpstr>
      <vt:lpstr>EN-21-170</vt:lpstr>
      <vt:lpstr>EN-22-120</vt:lpstr>
      <vt:lpstr>EN-21-383</vt:lpstr>
      <vt:lpstr>EN-21-349</vt:lpstr>
      <vt:lpstr>EN-21-385-386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Thanuphol Patipol (thau)</dc:creator>
  <cp:lastModifiedBy>Thanuphol Patipol (thau)</cp:lastModifiedBy>
  <dcterms:created xsi:type="dcterms:W3CDTF">2025-03-06T11:37:42Z</dcterms:created>
  <dcterms:modified xsi:type="dcterms:W3CDTF">2025-03-26T12:33:52Z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2025-03-11T09:40:35Z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a47e7e36-f6c2-40e0-ab8d-63869535fd5d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