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INPUT_Assumptions_USD" sheetId="2" r:id="rId2"/>
    <sheet name="INPUT_Env_Config" sheetId="3" r:id="rId3"/>
    <sheet name="INPUT_Workload" sheetId="4" r:id="rId4"/>
    <sheet name="INPUT_Ops_Config" sheetId="5" r:id="rId5"/>
    <sheet name="INPUT_Price_Catalog_AmazonMQ" sheetId="6" r:id="rId6"/>
    <sheet name="INPUT_Price_Catalog_EC2" sheetId="7" r:id="rId7"/>
    <sheet name="INPUT_Selection" sheetId="8" r:id="rId8"/>
    <sheet name="AmazonMQ_Calc" sheetId="9" r:id="rId9"/>
    <sheet name="SelfManaged_Calc" sheetId="10" r:id="rId10"/>
    <sheet name="In_Summary" sheetId="11" r:id="rId11"/>
  </sheets>
  <calcPr calcId="124519" fullCalcOnLoad="1"/>
</workbook>
</file>

<file path=xl/sharedStrings.xml><?xml version="1.0" encoding="utf-8"?>
<sst xmlns="http://schemas.openxmlformats.org/spreadsheetml/2006/main" count="109" uniqueCount="73">
  <si>
    <t>Topic</t>
  </si>
  <si>
    <t>Notes</t>
  </si>
  <si>
    <t>Edit ONLY</t>
  </si>
  <si>
    <t>Sheets prefixed with INPUT_. All other sheets are formulas.</t>
  </si>
  <si>
    <t>Locale</t>
  </si>
  <si>
    <t>US formulas with commas.</t>
  </si>
  <si>
    <t>key</t>
  </si>
  <si>
    <t>value</t>
  </si>
  <si>
    <t>hours_per_month</t>
  </si>
  <si>
    <t>amazon_mq_storage_usd_per_GB_month</t>
  </si>
  <si>
    <t>ebs_storage_usd_per_GB_month</t>
  </si>
  <si>
    <t>data_transfer_usd_per_GB</t>
  </si>
  <si>
    <t>cloudwatch_usd_per_broker_month</t>
  </si>
  <si>
    <t>prom_grafana_usd_per_env_month</t>
  </si>
  <si>
    <t>ops_rate_usd_per_hour</t>
  </si>
  <si>
    <t>ebs_base_GB_per_node</t>
  </si>
  <si>
    <t>environment</t>
  </si>
  <si>
    <t>nodes</t>
  </si>
  <si>
    <t>dev</t>
  </si>
  <si>
    <t>staging</t>
  </si>
  <si>
    <t>prod</t>
  </si>
  <si>
    <t>tps</t>
  </si>
  <si>
    <t>avg_msg_kb</t>
  </si>
  <si>
    <t>backlog_hours</t>
  </si>
  <si>
    <t>egress_GB_per_month</t>
  </si>
  <si>
    <t>ops_hours_per_month</t>
  </si>
  <si>
    <t>broker_type</t>
  </si>
  <si>
    <t>hourly_price_usd</t>
  </si>
  <si>
    <t>mq.t3.small</t>
  </si>
  <si>
    <t>mq.m5.large</t>
  </si>
  <si>
    <t>mq.m7g.large</t>
  </si>
  <si>
    <t>mq.r6g.large</t>
  </si>
  <si>
    <t>instance_type</t>
  </si>
  <si>
    <t>t3.small</t>
  </si>
  <si>
    <t>t3.medium</t>
  </si>
  <si>
    <t>m5.large</t>
  </si>
  <si>
    <t>m7g.large</t>
  </si>
  <si>
    <t>c6i.large</t>
  </si>
  <si>
    <t>r6i.large</t>
  </si>
  <si>
    <t>scenario_name</t>
  </si>
  <si>
    <t>selected_broker_type</t>
  </si>
  <si>
    <t>selected_instance_type</t>
  </si>
  <si>
    <t>Default Scenario</t>
  </si>
  <si>
    <t>broker_hourly_usd</t>
  </si>
  <si>
    <t>avg_stored_GB</t>
  </si>
  <si>
    <t>storage_GB_month</t>
  </si>
  <si>
    <t>compute_usd</t>
  </si>
  <si>
    <t>storage_usd</t>
  </si>
  <si>
    <t>data_transfer_usd</t>
  </si>
  <si>
    <t>monitoring_usd</t>
  </si>
  <si>
    <t>ops_usd</t>
  </si>
  <si>
    <t>total_usd</t>
  </si>
  <si>
    <t>ec2_hourly_usd</t>
  </si>
  <si>
    <t>AMQ_broker</t>
  </si>
  <si>
    <t>EC2_instance</t>
  </si>
  <si>
    <t>AMQ_compute</t>
  </si>
  <si>
    <t>AMQ_storage</t>
  </si>
  <si>
    <t>AMQ_data</t>
  </si>
  <si>
    <t>AMQ_monitoring</t>
  </si>
  <si>
    <t>AMQ_ops</t>
  </si>
  <si>
    <t>AMQ_total</t>
  </si>
  <si>
    <t>SM_compute</t>
  </si>
  <si>
    <t>SM_storage</t>
  </si>
  <si>
    <t>SM_data</t>
  </si>
  <si>
    <t>SM_monitoring</t>
  </si>
  <si>
    <t>SM_ops</t>
  </si>
  <si>
    <t>SM_total</t>
  </si>
  <si>
    <t>Δ_compute (SM-AMQ)</t>
  </si>
  <si>
    <t>Δ_storage (SM-AMQ)</t>
  </si>
  <si>
    <t>Δ_data (SM-AMQ)</t>
  </si>
  <si>
    <t>Δ_monitoring (SM-AMQ)</t>
  </si>
  <si>
    <t>Δ_ops (SM-AMQ)</t>
  </si>
  <si>
    <t>Δ_total (SM-AMQ)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</si>
</sst>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F2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s="2" t="s">
        <v>4</v>
      </c>
      <c r="B3" s="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sheetData>
    <row r="1" spans="1:18">
      <c r="A1" s="1" t="s">
        <v>16</v>
      </c>
      <c r="B1" s="1" t="s">
        <v>17</v>
      </c>
      <c r="C1" s="1" t="s">
        <v>32</v>
      </c>
      <c r="D1" s="1" t="s">
        <v>52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25</v>
      </c>
      <c r="P1" s="1" t="s">
        <v>14</v>
      </c>
      <c r="Q1" s="1" t="s">
        <v>50</v>
      </c>
      <c r="R1" s="1" t="s">
        <v>51</v>
      </c>
    </row>
    <row r="2" spans="1:18">
      <c r="A2" t="str">
        <f>INPUT_Workload!A2</f>
        <v>dev</v>
      </c>
      <c r="B2">
        <f>VLOOKUP(A2,INPUT_Env_Config!$A:$B,2,FALSE)</f>
        <v>3</v>
      </c>
      <c r="C2" t="str">
        <f>INPUT_Selection!$C$2</f>
        <v>m7g.large</v>
      </c>
      <c r="D2">
        <f>VLOOKUP(C2,INPUT_Price_Catalog_EC2!$A:$B,2,FALSE)</f>
        <v>0.076</v>
      </c>
      <c r="E2">
        <f>VLOOKUP(A2,INPUT_Workload!$A:$E,2,FALSE)</f>
        <v>50</v>
      </c>
      <c r="F2">
        <f>VLOOKUP(A2,INPUT_Workload!$A:$E,3,FALSE)</f>
        <v>1.0</v>
      </c>
      <c r="G2">
        <f>VLOOKUP(A2,INPUT_Workload!$A:$E,4,FALSE)</f>
        <v>0.5</v>
      </c>
      <c r="H2">
        <f>VLOOKUP(A2,INPUT_Workload!$A:$E,5,FALSE)</f>
        <v>50</v>
      </c>
      <c r="I2">
        <f>((E2*3600)*F2/1024/1024)*G2</f>
        <v>0.0858306884765625</v>
      </c>
      <c r="J2">
        <f>I2*30</f>
        <v>2.574920654296875</v>
      </c>
      <c r="K2" s="4">
        <f>D2*VLOOKUP("hours_per_month",INPUT_Assumptions_USD!$A:$B,2,FALSE)*B2</f>
        <v>166.44</v>
      </c>
      <c r="L2" s="4">
        <f>(VLOOKUP("ebs_base_GB_per_node",INPUT_Assumptions_USD!$A:$B,2,FALSE)*B2+J2)*VLOOKUP("ebs_storage_usd_per_GB_month",INPUT_Assumptions_USD!$A:$B,2,FALSE)</f>
        <v>13.731742858886719</v>
      </c>
      <c r="M2" s="4">
        <f>VLOOKUP("data_transfer_usd_per_GB",INPUT_Assumptions_USD!$A:$B,2,FALSE)*H2</f>
        <v>4.5</v>
      </c>
      <c r="N2" s="4">
        <f>VLOOKUP("prom_grafana_usd_per_env_month",INPUT_Assumptions_USD!$A:$B,2,FALSE)</f>
        <v>20.0</v>
      </c>
      <c r="O2">
        <f>VLOOKUP(A2,INPUT_Ops_Config!$A:$B,2,FALSE)</f>
        <v>2</v>
      </c>
      <c r="P2">
        <f>VLOOKUP("ops_rate_usd_per_hour",INPUT_Assumptions_USD!$A:$B,2,FALSE)</f>
        <v>100.0</v>
      </c>
      <c r="Q2" s="4">
        <f>O2*P2</f>
        <v>200.0</v>
      </c>
      <c r="R2" s="4">
        <f>SUM(K2:M2)+Q2</f>
        <v>404.6717428588867</v>
      </c>
    </row>
    <row r="3" spans="1:18">
      <c r="A3" t="str">
        <f>INPUT_Workload!A3</f>
        <v>staging</v>
      </c>
      <c r="B3">
        <f>VLOOKUP(A3,INPUT_Env_Config!$A:$B,2,FALSE)</f>
        <v>3</v>
      </c>
      <c r="C3" t="str">
        <f>INPUT_Selection!$C$2</f>
        <v>m7g.large</v>
      </c>
      <c r="D3">
        <f>VLOOKUP(C3,INPUT_Price_Catalog_EC2!$A:$B,2,FALSE)</f>
        <v>0.076</v>
      </c>
      <c r="E3">
        <f>VLOOKUP(A3,INPUT_Workload!$A:$E,2,FALSE)</f>
        <v>100</v>
      </c>
      <c r="F3">
        <f>VLOOKUP(A3,INPUT_Workload!$A:$E,3,FALSE)</f>
        <v>1.0</v>
      </c>
      <c r="G3">
        <f>VLOOKUP(A3,INPUT_Workload!$A:$E,4,FALSE)</f>
        <v>1.0</v>
      </c>
      <c r="H3">
        <f>VLOOKUP(A3,INPUT_Workload!$A:$E,5,FALSE)</f>
        <v>100</v>
      </c>
      <c r="I3">
        <f>((E3*3600)*F3/1024/1024)*G3</f>
        <v>0.34332275390625</v>
      </c>
      <c r="J3">
        <f>I3*30</f>
        <v>10.2996826171875</v>
      </c>
      <c r="K3" s="4">
        <f>D3*VLOOKUP("hours_per_month",INPUT_Assumptions_USD!$A:$B,2,FALSE)*B3</f>
        <v>166.44</v>
      </c>
      <c r="L3" s="4">
        <f>(VLOOKUP("ebs_base_GB_per_node",INPUT_Assumptions_USD!$A:$B,2,FALSE)*B3+J3)*VLOOKUP("ebs_storage_usd_per_GB_month",INPUT_Assumptions_USD!$A:$B,2,FALSE)</f>
        <v>14.426971435546875</v>
      </c>
      <c r="M3" s="4">
        <f>VLOOKUP("data_transfer_usd_per_GB",INPUT_Assumptions_USD!$A:$B,2,FALSE)*H3</f>
        <v>9.0</v>
      </c>
      <c r="N3" s="4">
        <f>VLOOKUP("prom_grafana_usd_per_env_month",INPUT_Assumptions_USD!$A:$B,2,FALSE)</f>
        <v>20.0</v>
      </c>
      <c r="O3">
        <f>VLOOKUP(A3,INPUT_Ops_Config!$A:$B,2,FALSE)</f>
        <v>6</v>
      </c>
      <c r="P3">
        <f>VLOOKUP("ops_rate_usd_per_hour",INPUT_Assumptions_USD!$A:$B,2,FALSE)</f>
        <v>100.0</v>
      </c>
      <c r="Q3" s="4">
        <f>O3*P3</f>
        <v>600.0</v>
      </c>
      <c r="R3" s="4">
        <f>SUM(K3:M3)+Q3</f>
        <v>809.8669714355469</v>
      </c>
    </row>
    <row r="4" spans="1:18">
      <c r="A4" t="str">
        <f>INPUT_Workload!A4</f>
        <v>prod</v>
      </c>
      <c r="B4">
        <f>VLOOKUP(A4,INPUT_Env_Config!$A:$B,2,FALSE)</f>
        <v>5</v>
      </c>
      <c r="C4" t="str">
        <f>INPUT_Selection!$C$2</f>
        <v>m7g.large</v>
      </c>
      <c r="D4">
        <f>VLOOKUP(C4,INPUT_Price_Catalog_EC2!$A:$B,2,FALSE)</f>
        <v>0.076</v>
      </c>
      <c r="E4">
        <f>VLOOKUP(A4,INPUT_Workload!$A:$E,2,FALSE)</f>
        <v>1000</v>
      </c>
      <c r="F4">
        <f>VLOOKUP(A4,INPUT_Workload!$A:$E,3,FALSE)</f>
        <v>1.0</v>
      </c>
      <c r="G4">
        <f>VLOOKUP(A4,INPUT_Workload!$A:$E,4,FALSE)</f>
        <v>2.0</v>
      </c>
      <c r="H4">
        <f>VLOOKUP(A4,INPUT_Workload!$A:$E,5,FALSE)</f>
        <v>1000</v>
      </c>
      <c r="I4">
        <f>((E4*3600)*F4/1024/1024)*G4</f>
        <v>6.866455078125</v>
      </c>
      <c r="J4">
        <f>I4*30</f>
        <v>205.99365234375</v>
      </c>
      <c r="K4" s="4">
        <f>D4*VLOOKUP("hours_per_month",INPUT_Assumptions_USD!$A:$B,2,FALSE)*B4</f>
        <v>277.4</v>
      </c>
      <c r="L4" s="4">
        <f>(VLOOKUP("ebs_base_GB_per_node",INPUT_Assumptions_USD!$A:$B,2,FALSE)*B4+J4)*VLOOKUP("ebs_storage_usd_per_GB_month",INPUT_Assumptions_USD!$A:$B,2,FALSE)</f>
        <v>41.0394287109375</v>
      </c>
      <c r="M4" s="4">
        <f>VLOOKUP("data_transfer_usd_per_GB",INPUT_Assumptions_USD!$A:$B,2,FALSE)*H4</f>
        <v>90.0</v>
      </c>
      <c r="N4" s="4">
        <f>VLOOKUP("prom_grafana_usd_per_env_month",INPUT_Assumptions_USD!$A:$B,2,FALSE)</f>
        <v>20.0</v>
      </c>
      <c r="O4">
        <f>VLOOKUP(A4,INPUT_Ops_Config!$A:$B,2,FALSE)</f>
        <v>20</v>
      </c>
      <c r="P4">
        <f>VLOOKUP("ops_rate_usd_per_hour",INPUT_Assumptions_USD!$A:$B,2,FALSE)</f>
        <v>100.0</v>
      </c>
      <c r="Q4" s="4">
        <f>O4*P4</f>
        <v>2000.0</v>
      </c>
      <c r="R4" s="4">
        <f>SUM(K4:M4)+Q4</f>
        <v>2428.4394287109376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sheetData>
    <row r="1" spans="1:21">
      <c r="A1" s="1" t="s">
        <v>16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</row>
    <row r="2" spans="1:21">
      <c r="A2" t="str">
        <f>AmazonMQ_Calc!A2</f>
        <v>dev</v>
      </c>
      <c r="B2" t="str">
        <f>AmazonMQ_Calc!C2</f>
        <v>mq.m7g.large</v>
      </c>
      <c r="C2" t="str">
        <f>SelfManaged_Calc!C2</f>
        <v>m7g.large</v>
      </c>
      <c r="D2" s="4">
        <f>AmazonMQ_Calc!K2</f>
        <v>481.79999999999995</v>
      </c>
      <c r="E2" s="4">
        <f>AmazonMQ_Calc!L2</f>
        <v>0.2574920654296875</v>
      </c>
      <c r="F2" s="4">
        <f>AmazonMQ_Calc!M2</f>
        <v>4.5</v>
      </c>
      <c r="G2" s="4">
        <f>AmazonMQ_Calc!N2</f>
        <v>75.0</v>
      </c>
      <c r="H2" s="4">
        <f>AmazonMQ_Calc!O2</f>
        <v>0.0</v>
      </c>
      <c r="I2" s="4">
        <f>AmazonMQ_Calc!P2</f>
        <v>561.5574920654296</v>
      </c>
      <c r="J2" s="4">
        <f>SelfManaged_Calc!K2</f>
        <v>166.44</v>
      </c>
      <c r="K2" s="4">
        <f>SelfManaged_Calc!L2</f>
        <v>13.731742858886719</v>
      </c>
      <c r="L2" s="4">
        <f>SelfManaged_Calc!M2</f>
        <v>4.5</v>
      </c>
      <c r="M2" s="4">
        <f>SelfManaged_Calc!N2</f>
        <v>20.0</v>
      </c>
      <c r="N2" s="4">
        <f>SelfManaged_Calc!Q2</f>
        <v>200.0</v>
      </c>
      <c r="O2" s="4">
        <f>SelfManaged_Calc!R2</f>
        <v>404.6717428588867</v>
      </c>
      <c r="P2" s="4">
        <f>J2-D2</f>
        <v>-315.35999999999996</v>
      </c>
      <c r="Q2" s="4">
        <f>K2-E2</f>
        <v>13.474250793457031</v>
      </c>
      <c r="R2" s="4">
        <f>L2-F2</f>
        <v>0.0</v>
      </c>
      <c r="S2" s="4">
        <f>M2-G2</f>
        <v>-55.0</v>
      </c>
      <c r="T2" s="4">
        <f>N2-H2</f>
        <v>200.0</v>
      </c>
      <c r="U2" s="4">
        <f>O2-I2</f>
        <v>-156.88574920654293</v>
      </c>
    </row>
    <row r="3" spans="1:21">
      <c r="A3" t="str">
        <f>AmazonMQ_Calc!A3</f>
        <v>staging</v>
      </c>
      <c r="B3" t="str">
        <f>AmazonMQ_Calc!C3</f>
        <v>mq.m7g.large</v>
      </c>
      <c r="C3" t="str">
        <f>SelfManaged_Calc!C3</f>
        <v>m7g.large</v>
      </c>
      <c r="D3" s="4">
        <f>AmazonMQ_Calc!K3</f>
        <v>481.79999999999995</v>
      </c>
      <c r="E3" s="4">
        <f>AmazonMQ_Calc!L3</f>
        <v>1.02996826171875</v>
      </c>
      <c r="F3" s="4">
        <f>AmazonMQ_Calc!M3</f>
        <v>9.0</v>
      </c>
      <c r="G3" s="4">
        <f>AmazonMQ_Calc!N3</f>
        <v>75.0</v>
      </c>
      <c r="H3" s="4">
        <f>AmazonMQ_Calc!O3</f>
        <v>0.0</v>
      </c>
      <c r="I3" s="4">
        <f>AmazonMQ_Calc!P3</f>
        <v>566.8299682617187</v>
      </c>
      <c r="J3" s="4">
        <f>SelfManaged_Calc!K3</f>
        <v>166.44</v>
      </c>
      <c r="K3" s="4">
        <f>SelfManaged_Calc!L3</f>
        <v>14.426971435546875</v>
      </c>
      <c r="L3" s="4">
        <f>SelfManaged_Calc!M3</f>
        <v>9.0</v>
      </c>
      <c r="M3" s="4">
        <f>SelfManaged_Calc!N3</f>
        <v>20.0</v>
      </c>
      <c r="N3" s="4">
        <f>SelfManaged_Calc!Q3</f>
        <v>600.0</v>
      </c>
      <c r="O3" s="4">
        <f>SelfManaged_Calc!R3</f>
        <v>809.8669714355469</v>
      </c>
      <c r="P3" s="4">
        <f>J3-D3</f>
        <v>-315.35999999999996</v>
      </c>
      <c r="Q3" s="4">
        <f>K3-E3</f>
        <v>13.397003173828125</v>
      </c>
      <c r="R3" s="4">
        <f>L3-F3</f>
        <v>0.0</v>
      </c>
      <c r="S3" s="4">
        <f>M3-G3</f>
        <v>-55.0</v>
      </c>
      <c r="T3" s="4">
        <f>N3-H3</f>
        <v>600.0</v>
      </c>
      <c r="U3" s="4">
        <f>O3-I3</f>
        <v>243.03700317382823</v>
      </c>
    </row>
    <row r="4" spans="1:21">
      <c r="A4" t="str">
        <f>AmazonMQ_Calc!A4</f>
        <v>prod</v>
      </c>
      <c r="B4" t="str">
        <f>AmazonMQ_Calc!C4</f>
        <v>mq.m7g.large</v>
      </c>
      <c r="C4" t="str">
        <f>SelfManaged_Calc!C4</f>
        <v>m7g.large</v>
      </c>
      <c r="D4" s="4">
        <f>AmazonMQ_Calc!K4</f>
        <v>803.0</v>
      </c>
      <c r="E4" s="4">
        <f>AmazonMQ_Calc!L4</f>
        <v>20.599365234375</v>
      </c>
      <c r="F4" s="4">
        <f>AmazonMQ_Calc!M4</f>
        <v>90.0</v>
      </c>
      <c r="G4" s="4">
        <f>AmazonMQ_Calc!N4</f>
        <v>125.0</v>
      </c>
      <c r="H4" s="4">
        <f>AmazonMQ_Calc!O4</f>
        <v>0.0</v>
      </c>
      <c r="I4" s="4">
        <f>AmazonMQ_Calc!P4</f>
        <v>1038.599365234375</v>
      </c>
      <c r="J4" s="4">
        <f>SelfManaged_Calc!K4</f>
        <v>277.4</v>
      </c>
      <c r="K4" s="4">
        <f>SelfManaged_Calc!L4</f>
        <v>41.0394287109375</v>
      </c>
      <c r="L4" s="4">
        <f>SelfManaged_Calc!M4</f>
        <v>90.0</v>
      </c>
      <c r="M4" s="4">
        <f>SelfManaged_Calc!N4</f>
        <v>20.0</v>
      </c>
      <c r="N4" s="4">
        <f>SelfManaged_Calc!Q4</f>
        <v>2000.0</v>
      </c>
      <c r="O4" s="4">
        <f>SelfManaged_Calc!R4</f>
        <v>2428.4394287109376</v>
      </c>
      <c r="P4" s="4">
        <f>J4-D4</f>
        <v>-525.6</v>
      </c>
      <c r="Q4" s="4">
        <f>K4-E4</f>
        <v>20.4400634765625</v>
      </c>
      <c r="R4" s="4">
        <f>L4-F4</f>
        <v>0.0</v>
      </c>
      <c r="S4" s="4">
        <f>M4-G4</f>
        <v>-105.0</v>
      </c>
      <c r="T4" s="4">
        <f>N4-H4</f>
        <v>2000.0</v>
      </c>
      <c r="U4" s="4">
        <f>O4-I4</f>
        <v>1389.8400634765626</v>
      </c>
    </row>
    <row r="6" spans="1:21">
      <c r="D6" s="4">
        <f>SUM(D2:D4)</f>
        <v>0</v>
      </c>
      <c r="E6" s="4">
        <f>SUM(E2:E4)</f>
        <v>0</v>
      </c>
      <c r="F6" s="4">
        <f>SUM(F2:F4)</f>
        <v>0</v>
      </c>
      <c r="G6" s="4">
        <f>SUM(G2:G4)</f>
        <v>0</v>
      </c>
      <c r="H6" s="4">
        <f>SUM(H2:H4)</f>
        <v>0</v>
      </c>
      <c r="I6" s="4">
        <f>SUM(I2:I4)</f>
        <v>0</v>
      </c>
      <c r="J6" s="4">
        <f>SUM(J2:J4)</f>
        <v>0</v>
      </c>
      <c r="K6" s="4">
        <f>SUM(K2:K4)</f>
        <v>0</v>
      </c>
      <c r="L6" s="4">
        <f>SUM(L2:L4)</f>
        <v>0</v>
      </c>
      <c r="M6" s="4">
        <f>SUM(M2:M4)</f>
        <v>0</v>
      </c>
      <c r="N6" s="4">
        <f>SUM(N2:N4)</f>
        <v>0</v>
      </c>
      <c r="O6" s="4">
        <f>SUM(O2:O4)</f>
        <v>0</v>
      </c>
      <c r="P6" s="4">
        <f>SUM(P2:P4)</f>
        <v>0</v>
      </c>
      <c r="Q6" s="4">
        <f>SUM(Q2:Q4)</f>
        <v>0</v>
      </c>
      <c r="R6" s="4">
        <f>SUM(R2:R4)</f>
        <v>0</v>
      </c>
      <c r="S6" s="4">
        <f>SUM(S2:S4)</f>
        <v>0</v>
      </c>
      <c r="T6" s="4">
        <f>SUM(T2:T4)</f>
        <v>0</v>
      </c>
      <c r="U6" s="4">
        <f>SUM(U2:U4)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6</v>
      </c>
      <c r="B1" s="1" t="s">
        <v>7</v>
      </c>
    </row>
    <row r="2" spans="1:2">
      <c r="A2" s="3" t="s">
        <v>8</v>
      </c>
      <c r="B2" s="3">
        <v>730</v>
      </c>
    </row>
    <row r="3" spans="1:2">
      <c r="A3" s="3" t="s">
        <v>9</v>
      </c>
      <c r="B3" s="3">
        <v>0.1</v>
      </c>
    </row>
    <row r="4" spans="1:2">
      <c r="A4" s="3" t="s">
        <v>10</v>
      </c>
      <c r="B4" s="3">
        <v>0.09</v>
      </c>
    </row>
    <row r="5" spans="1:2">
      <c r="A5" s="3" t="s">
        <v>11</v>
      </c>
      <c r="B5" s="3">
        <v>0.09</v>
      </c>
    </row>
    <row r="6" spans="1:2">
      <c r="A6" s="3" t="s">
        <v>12</v>
      </c>
      <c r="B6" s="3">
        <v>25</v>
      </c>
    </row>
    <row r="7" spans="1:2">
      <c r="A7" s="3" t="s">
        <v>13</v>
      </c>
      <c r="B7" s="3">
        <v>20</v>
      </c>
    </row>
    <row r="8" spans="1:2">
      <c r="A8" s="3" t="s">
        <v>14</v>
      </c>
      <c r="B8" s="3">
        <v>100</v>
      </c>
    </row>
    <row r="9" spans="1:2">
      <c r="A9" s="3" t="s">
        <v>15</v>
      </c>
      <c r="B9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16</v>
      </c>
      <c r="B1" s="1" t="s">
        <v>17</v>
      </c>
    </row>
    <row r="2" spans="1:2">
      <c r="A2" s="3" t="s">
        <v>18</v>
      </c>
      <c r="B2" s="3">
        <v>3</v>
      </c>
    </row>
    <row r="3" spans="1:2">
      <c r="A3" s="3" t="s">
        <v>19</v>
      </c>
      <c r="B3" s="3">
        <v>3</v>
      </c>
    </row>
    <row r="4" spans="1:2">
      <c r="A4" s="3" t="s">
        <v>20</v>
      </c>
      <c r="B4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16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>
      <c r="A2" s="3" t="s">
        <v>18</v>
      </c>
      <c r="B2" s="3">
        <v>50</v>
      </c>
      <c r="C2" s="3">
        <v>1</v>
      </c>
      <c r="D2" s="3">
        <v>0.5</v>
      </c>
      <c r="E2" s="3">
        <v>50</v>
      </c>
    </row>
    <row r="3" spans="1:5">
      <c r="A3" s="3" t="s">
        <v>19</v>
      </c>
      <c r="B3" s="3">
        <v>100</v>
      </c>
      <c r="C3" s="3">
        <v>1</v>
      </c>
      <c r="D3" s="3">
        <v>1</v>
      </c>
      <c r="E3" s="3">
        <v>100</v>
      </c>
    </row>
    <row r="4" spans="1:5">
      <c r="A4" s="3" t="s">
        <v>20</v>
      </c>
      <c r="B4" s="3">
        <v>1000</v>
      </c>
      <c r="C4" s="3">
        <v>1</v>
      </c>
      <c r="D4" s="3">
        <v>2</v>
      </c>
      <c r="E4" s="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16</v>
      </c>
      <c r="B1" s="1" t="s">
        <v>25</v>
      </c>
    </row>
    <row r="2" spans="1:2">
      <c r="A2" s="3" t="s">
        <v>18</v>
      </c>
      <c r="B2" s="3">
        <v>2</v>
      </c>
    </row>
    <row r="3" spans="1:2">
      <c r="A3" s="3" t="s">
        <v>19</v>
      </c>
      <c r="B3" s="3">
        <v>6</v>
      </c>
    </row>
    <row r="4" spans="1:2">
      <c r="A4" s="3" t="s">
        <v>20</v>
      </c>
      <c r="B4" s="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s="3" t="s">
        <v>28</v>
      </c>
      <c r="B2" s="3">
        <v>0.1</v>
      </c>
    </row>
    <row r="3" spans="1:2">
      <c r="A3" s="3" t="s">
        <v>29</v>
      </c>
      <c r="B3" s="3">
        <v>0.25</v>
      </c>
    </row>
    <row r="4" spans="1:2">
      <c r="A4" s="3" t="s">
        <v>30</v>
      </c>
      <c r="B4" s="3">
        <v>0.22</v>
      </c>
    </row>
    <row r="5" spans="1:2">
      <c r="A5" s="3" t="s">
        <v>31</v>
      </c>
      <c r="B5" s="3">
        <v>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32</v>
      </c>
      <c r="B1" s="1" t="s">
        <v>27</v>
      </c>
    </row>
    <row r="2" spans="1:2">
      <c r="A2" s="3" t="s">
        <v>33</v>
      </c>
      <c r="B2" s="3">
        <v>0.023</v>
      </c>
    </row>
    <row r="3" spans="1:2">
      <c r="A3" s="3" t="s">
        <v>34</v>
      </c>
      <c r="B3" s="3">
        <v>0.046</v>
      </c>
    </row>
    <row r="4" spans="1:2">
      <c r="A4" s="3" t="s">
        <v>35</v>
      </c>
      <c r="B4" s="3">
        <v>0.096</v>
      </c>
    </row>
    <row r="5" spans="1:2">
      <c r="A5" s="3" t="s">
        <v>36</v>
      </c>
      <c r="B5" s="3">
        <v>0.076</v>
      </c>
    </row>
    <row r="6" spans="1:2">
      <c r="A6" s="3" t="s">
        <v>37</v>
      </c>
      <c r="B6" s="3">
        <v>0.08500000000000001</v>
      </c>
    </row>
    <row r="7" spans="1:2">
      <c r="A7" s="3" t="s">
        <v>38</v>
      </c>
      <c r="B7" s="3">
        <v>0.12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39</v>
      </c>
      <c r="B1" s="1" t="s">
        <v>40</v>
      </c>
      <c r="C1" s="1" t="s">
        <v>41</v>
      </c>
    </row>
    <row r="2" spans="1:3">
      <c r="A2" s="3" t="s">
        <v>42</v>
      </c>
      <c r="B2" s="3" t="s">
        <v>30</v>
      </c>
      <c r="C2" s="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"/>
  <sheetData>
    <row r="1" spans="1:16">
      <c r="A1" s="1" t="s">
        <v>16</v>
      </c>
      <c r="B1" s="1" t="s">
        <v>17</v>
      </c>
      <c r="C1" s="1" t="s">
        <v>26</v>
      </c>
      <c r="D1" s="1" t="s">
        <v>43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t="str">
        <f>INPUT_Workload!A2</f>
        <v>dev</v>
      </c>
      <c r="B2">
        <f>VLOOKUP(A2,INPUT_Env_Config!$A:$B,2,FALSE)</f>
        <v>3</v>
      </c>
      <c r="C2" t="str">
        <f>INPUT_Selection!$B$2</f>
        <v>mq.m7g.large</v>
      </c>
      <c r="D2">
        <f>VLOOKUP(C2,INPUT_Price_Catalog_AmazonMQ!$A:$B,2,FALSE)</f>
        <v>0.22</v>
      </c>
      <c r="E2">
        <f>VLOOKUP(A2,INPUT_Workload!$A:$E,2,FALSE)</f>
        <v>50</v>
      </c>
      <c r="F2">
        <f>VLOOKUP(A2,INPUT_Workload!$A:$E,3,FALSE)</f>
        <v>1.0</v>
      </c>
      <c r="G2">
        <f>VLOOKUP(A2,INPUT_Workload!$A:$E,4,FALSE)</f>
        <v>0.5</v>
      </c>
      <c r="H2">
        <f>VLOOKUP(A2,INPUT_Workload!$A:$E,5,FALSE)</f>
        <v>50</v>
      </c>
      <c r="I2">
        <f>((E2*3600)*F2/1024/1024)*G2</f>
        <v>0.0858306884765625</v>
      </c>
      <c r="J2">
        <f>I2*30</f>
        <v>2.574920654296875</v>
      </c>
      <c r="K2" s="4">
        <f>D2*VLOOKUP("hours_per_month",INPUT_Assumptions_USD!$A:$B,2,FALSE)*B2</f>
        <v>481.79999999999995</v>
      </c>
      <c r="L2" s="4">
        <f>VLOOKUP("amazon_mq_storage_usd_per_GB_month",INPUT_Assumptions_USD!$A:$B,2,FALSE)*J2</f>
        <v>0.2574920654296875</v>
      </c>
      <c r="M2" s="4">
        <f>VLOOKUP("data_transfer_usd_per_GB",INPUT_Assumptions_USD!$A:$B,2,FALSE)*H2</f>
        <v>4.5</v>
      </c>
      <c r="N2" s="4">
        <f>VLOOKUP("cloudwatch_usd_per_broker_month",INPUT_Assumptions_USD!$A:$B,2,FALSE)*B2</f>
        <v>75.0</v>
      </c>
      <c r="O2" s="4">
        <v>0</v>
      </c>
      <c r="P2" s="4">
        <f>SUM(K2:N2)+O2</f>
        <v>561.5574920654296</v>
      </c>
    </row>
    <row r="3" spans="1:16">
      <c r="A3" t="str">
        <f>INPUT_Workload!A3</f>
        <v>staging</v>
      </c>
      <c r="B3">
        <f>VLOOKUP(A3,INPUT_Env_Config!$A:$B,2,FALSE)</f>
        <v>3</v>
      </c>
      <c r="C3" t="str">
        <f>INPUT_Selection!$B$2</f>
        <v>mq.m7g.large</v>
      </c>
      <c r="D3">
        <f>VLOOKUP(C3,INPUT_Price_Catalog_AmazonMQ!$A:$B,2,FALSE)</f>
        <v>0.22</v>
      </c>
      <c r="E3">
        <f>VLOOKUP(A3,INPUT_Workload!$A:$E,2,FALSE)</f>
        <v>100</v>
      </c>
      <c r="F3">
        <f>VLOOKUP(A3,INPUT_Workload!$A:$E,3,FALSE)</f>
        <v>1.0</v>
      </c>
      <c r="G3">
        <f>VLOOKUP(A3,INPUT_Workload!$A:$E,4,FALSE)</f>
        <v>1.0</v>
      </c>
      <c r="H3">
        <f>VLOOKUP(A3,INPUT_Workload!$A:$E,5,FALSE)</f>
        <v>100</v>
      </c>
      <c r="I3">
        <f>((E3*3600)*F3/1024/1024)*G3</f>
        <v>0.34332275390625</v>
      </c>
      <c r="J3">
        <f>I3*30</f>
        <v>10.2996826171875</v>
      </c>
      <c r="K3" s="4">
        <f>D3*VLOOKUP("hours_per_month",INPUT_Assumptions_USD!$A:$B,2,FALSE)*B3</f>
        <v>481.79999999999995</v>
      </c>
      <c r="L3" s="4">
        <f>VLOOKUP("amazon_mq_storage_usd_per_GB_month",INPUT_Assumptions_USD!$A:$B,2,FALSE)*J3</f>
        <v>1.02996826171875</v>
      </c>
      <c r="M3" s="4">
        <f>VLOOKUP("data_transfer_usd_per_GB",INPUT_Assumptions_USD!$A:$B,2,FALSE)*H3</f>
        <v>9.0</v>
      </c>
      <c r="N3" s="4">
        <f>VLOOKUP("cloudwatch_usd_per_broker_month",INPUT_Assumptions_USD!$A:$B,2,FALSE)*B3</f>
        <v>75.0</v>
      </c>
      <c r="O3" s="4">
        <v>0</v>
      </c>
      <c r="P3" s="4">
        <f>SUM(K3:N3)+O3</f>
        <v>566.8299682617187</v>
      </c>
    </row>
    <row r="4" spans="1:16">
      <c r="A4" t="str">
        <f>INPUT_Workload!A4</f>
        <v>prod</v>
      </c>
      <c r="B4">
        <f>VLOOKUP(A4,INPUT_Env_Config!$A:$B,2,FALSE)</f>
        <v>5</v>
      </c>
      <c r="C4" t="str">
        <f>INPUT_Selection!$B$2</f>
        <v>mq.m7g.large</v>
      </c>
      <c r="D4">
        <f>VLOOKUP(C4,INPUT_Price_Catalog_AmazonMQ!$A:$B,2,FALSE)</f>
        <v>0.22</v>
      </c>
      <c r="E4">
        <f>VLOOKUP(A4,INPUT_Workload!$A:$E,2,FALSE)</f>
        <v>1000</v>
      </c>
      <c r="F4">
        <f>VLOOKUP(A4,INPUT_Workload!$A:$E,3,FALSE)</f>
        <v>1.0</v>
      </c>
      <c r="G4">
        <f>VLOOKUP(A4,INPUT_Workload!$A:$E,4,FALSE)</f>
        <v>2.0</v>
      </c>
      <c r="H4">
        <f>VLOOKUP(A4,INPUT_Workload!$A:$E,5,FALSE)</f>
        <v>1000</v>
      </c>
      <c r="I4">
        <f>((E4*3600)*F4/1024/1024)*G4</f>
        <v>6.866455078125</v>
      </c>
      <c r="J4">
        <f>I4*30</f>
        <v>205.99365234375</v>
      </c>
      <c r="K4" s="4">
        <f>D4*VLOOKUP("hours_per_month",INPUT_Assumptions_USD!$A:$B,2,FALSE)*B4</f>
        <v>803.0</v>
      </c>
      <c r="L4" s="4">
        <f>VLOOKUP("amazon_mq_storage_usd_per_GB_month",INPUT_Assumptions_USD!$A:$B,2,FALSE)*J4</f>
        <v>20.599365234375</v>
      </c>
      <c r="M4" s="4">
        <f>VLOOKUP("data_transfer_usd_per_GB",INPUT_Assumptions_USD!$A:$B,2,FALSE)*H4</f>
        <v>90.0</v>
      </c>
      <c r="N4" s="4">
        <f>VLOOKUP("cloudwatch_usd_per_broker_month",INPUT_Assumptions_USD!$A:$B,2,FALSE)*B4</f>
        <v>125.0</v>
      </c>
      <c r="O4" s="4">
        <v>0</v>
      </c>
      <c r="P4" s="4">
        <f>SUM(K4:N4)+O4</f>
        <v>1038.599365234375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INPUT_Assumptions_USD</vt:lpstr>
      <vt:lpstr>INPUT_Env_Config</vt:lpstr>
      <vt:lpstr>INPUT_Workload</vt:lpstr>
      <vt:lpstr>INPUT_Ops_Config</vt:lpstr>
      <vt:lpstr>INPUT_Price_Catalog_AmazonMQ</vt:lpstr>
      <vt:lpstr>INPUT_Price_Catalog_EC2</vt:lpstr>
      <vt:lpstr>INPUT_Selection</vt:lpstr>
      <vt:lpstr>AmazonMQ_Calc</vt:lpstr>
      <vt:lpstr>SelfManaged_Calc</vt:lpstr>
      <vt:lpstr>In_Summary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2025-09-01T17:01:22Z</dcterms:created>
  <dcterms:modified xsi:type="dcterms:W3CDTF">2025-09-01T17:01:22Z</dcterms:modified>
</cp:coreProperties>
</file>