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esktop\"/>
    </mc:Choice>
  </mc:AlternateContent>
  <xr:revisionPtr revIDLastSave="0" documentId="13_ncr:1_{E6E1324E-DE10-49FB-8B91-6DD98312DAA4}" xr6:coauthVersionLast="45" xr6:coauthVersionMax="45" xr10:uidLastSave="{00000000-0000-0000-0000-000000000000}"/>
  <bookViews>
    <workbookView xWindow="38292" yWindow="-4212" windowWidth="46296" windowHeight="25536" xr2:uid="{A5AE46A9-0843-5948-8473-310624274E59}"/>
  </bookViews>
  <sheets>
    <sheet name="model" sheetId="12" r:id="rId1"/>
    <sheet name="data" sheetId="13" r:id="rId2"/>
  </sheets>
  <definedNames>
    <definedName name="Begin_intermediate" localSheetId="0">model!$B$9</definedName>
    <definedName name="Begin_intermediate">#REF!</definedName>
    <definedName name="Begin_lockdown" localSheetId="0">model!$B$10</definedName>
    <definedName name="Begin_lockdown">#REF!</definedName>
    <definedName name="Cluster" localSheetId="0">model!#REF!</definedName>
    <definedName name="Cluster">#REF!</definedName>
    <definedName name="Cluster_vlookup">#REF!</definedName>
    <definedName name="current_infected">model!$B$23</definedName>
    <definedName name="Delay" localSheetId="0">model!$B$35</definedName>
    <definedName name="Delay">#REF!</definedName>
    <definedName name="Desire_asy" localSheetId="0">model!$B$30</definedName>
    <definedName name="Desire_asy">#REF!</definedName>
    <definedName name="Desire_mild" localSheetId="0">model!$B$29</definedName>
    <definedName name="Desire_mild">#REF!</definedName>
    <definedName name="Desire_severe" localSheetId="0">model!$B$28</definedName>
    <definedName name="Desire_severe">#REF!</definedName>
    <definedName name="End_lockdown">model!$B$11</definedName>
    <definedName name="False_negative" localSheetId="0">model!$B$32</definedName>
    <definedName name="False_negative">#REF!</definedName>
    <definedName name="False_positive" localSheetId="0">model!$B$33</definedName>
    <definedName name="False_positive">#REF!</definedName>
    <definedName name="Faux_mild" localSheetId="0">model!$B$26</definedName>
    <definedName name="Faux_mild">#REF!</definedName>
    <definedName name="Faux_severe" localSheetId="0">model!$B$25</definedName>
    <definedName name="Faux_severe">#REF!</definedName>
    <definedName name="Initial_cases" localSheetId="0">model!$B$22</definedName>
    <definedName name="Initial_cases">#REF!</definedName>
    <definedName name="Initial_tests" localSheetId="0">model!#REF!</definedName>
    <definedName name="Initial_tests">#REF!</definedName>
    <definedName name="Pct_asy" localSheetId="0">model!$B$12</definedName>
    <definedName name="Pct_asy">#REF!</definedName>
    <definedName name="Pct_fatal">model!$B$14</definedName>
    <definedName name="Pct_mild" localSheetId="0">model!$B$13</definedName>
    <definedName name="Pct_mild">#REF!</definedName>
    <definedName name="Population" localSheetId="0">model!$B$21</definedName>
    <definedName name="Population">#REF!</definedName>
    <definedName name="Ramp_period" localSheetId="0">model!#REF!</definedName>
    <definedName name="Ramp_period">#REF!</definedName>
    <definedName name="Rationed_tests" localSheetId="0">model!#REF!</definedName>
    <definedName name="Rationed_tests">#REF!</definedName>
    <definedName name="Ro_end">model!$B$8</definedName>
    <definedName name="Ro_intermediate" localSheetId="0">model!$B$6</definedName>
    <definedName name="Ro_intermediate">#REF!</definedName>
    <definedName name="Ro_lockdown" localSheetId="0">model!$B$7</definedName>
    <definedName name="Ro_lockdown">#REF!</definedName>
    <definedName name="Ro_uncontrolled" localSheetId="0">model!$B$5</definedName>
    <definedName name="Ro_uncontrolled">#REF!</definedName>
    <definedName name="Serial" localSheetId="0">model!$B$18</definedName>
    <definedName name="Serial">#REF!</definedName>
    <definedName name="solver_adj" localSheetId="0" hidden="1">model!$B$22</definedName>
    <definedName name="solver_cvg" localSheetId="0" hidden="1">0.0001</definedName>
    <definedName name="solver_drv" localSheetId="0" hidden="1">2</definedName>
    <definedName name="solver_eng" localSheetId="0" hidden="1">3</definedName>
    <definedName name="solver_est" localSheetId="0" hidden="1">1</definedName>
    <definedName name="solver_itr" localSheetId="0" hidden="1">2147483647</definedName>
    <definedName name="solver_lhs1" localSheetId="0" hidden="1">model!$B$22</definedName>
    <definedName name="solver_lhs2" localSheetId="0" hidden="1">model!$B$22</definedName>
    <definedName name="solver_lhs3" localSheetId="0" hidden="1">model!$B$7</definedName>
    <definedName name="solver_lhs4" localSheetId="0" hidden="1">model!$B$7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model!$X$64</definedName>
    <definedName name="solver_pre" localSheetId="0" hidden="1">0.000001</definedName>
    <definedName name="solver_rbv" localSheetId="0" hidden="1">2</definedName>
    <definedName name="solver_rel1" localSheetId="0" hidden="1">1</definedName>
    <definedName name="solver_rel2" localSheetId="0" hidden="1">3</definedName>
    <definedName name="solver_rel3" localSheetId="0" hidden="1">1</definedName>
    <definedName name="solver_rel4" localSheetId="0" hidden="1">1</definedName>
    <definedName name="solver_rhs1" localSheetId="0" hidden="1">10</definedName>
    <definedName name="solver_rhs2" localSheetId="0" hidden="1">0.1</definedName>
    <definedName name="solver_rhs3" localSheetId="0" hidden="1">1.5</definedName>
    <definedName name="solver_rhs4" localSheetId="0" hidden="1">1.5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  <definedName name="Spread">model!$B$15</definedName>
    <definedName name="Test_growth_rate" localSheetId="0">model!#REF!</definedName>
    <definedName name="Test_growth_rate">#REF!</definedName>
    <definedName name="Tests_max" localSheetId="0">model!#REF!</definedName>
    <definedName name="Tests_max">#REF!</definedName>
    <definedName name="Zero_date" localSheetId="0">model!$B$17</definedName>
    <definedName name="Zero_dat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F6" i="12" l="1"/>
  <c r="AF7" i="12"/>
  <c r="AF8" i="12"/>
  <c r="AF9" i="12"/>
  <c r="AF10" i="12"/>
  <c r="AF11" i="12"/>
  <c r="AF12" i="12"/>
  <c r="AF13" i="12"/>
  <c r="AF14" i="12"/>
  <c r="AF15" i="12"/>
  <c r="AF16" i="12"/>
  <c r="AF17" i="12"/>
  <c r="AF18" i="12"/>
  <c r="AF19" i="12"/>
  <c r="AF20" i="12"/>
  <c r="AF21" i="12"/>
  <c r="AF22" i="12"/>
  <c r="AF23" i="12"/>
  <c r="AF24" i="12"/>
  <c r="AF25" i="12"/>
  <c r="AF26" i="12"/>
  <c r="AF27" i="12"/>
  <c r="AF28" i="12"/>
  <c r="AF29" i="12"/>
  <c r="AF30" i="12"/>
  <c r="AF31" i="12"/>
  <c r="AF32" i="12"/>
  <c r="AF33" i="12"/>
  <c r="AG33" i="12" s="1"/>
  <c r="AF5" i="12"/>
  <c r="AI6" i="12"/>
  <c r="AI7" i="12"/>
  <c r="AI8" i="12"/>
  <c r="AI9" i="12"/>
  <c r="AI10" i="12"/>
  <c r="AI11" i="12"/>
  <c r="AI12" i="12"/>
  <c r="AI13" i="12"/>
  <c r="AI14" i="12"/>
  <c r="AI15" i="12"/>
  <c r="AI16" i="12"/>
  <c r="AI17" i="12"/>
  <c r="AI18" i="12"/>
  <c r="AI19" i="12"/>
  <c r="AI20" i="12"/>
  <c r="AI21" i="12"/>
  <c r="AI22" i="12"/>
  <c r="AI23" i="12"/>
  <c r="AI24" i="12"/>
  <c r="AI25" i="12"/>
  <c r="AI26" i="12"/>
  <c r="AI27" i="12"/>
  <c r="AI28" i="12"/>
  <c r="AI29" i="12"/>
  <c r="AI30" i="12"/>
  <c r="AI31" i="12"/>
  <c r="AI32" i="12"/>
  <c r="AI33" i="12"/>
  <c r="AI5" i="12"/>
  <c r="BA8" i="12"/>
  <c r="BA9" i="12"/>
  <c r="BA10" i="12"/>
  <c r="BA11" i="12"/>
  <c r="BA12" i="12"/>
  <c r="BA13" i="12"/>
  <c r="BA14" i="12"/>
  <c r="BA15" i="12"/>
  <c r="BA16" i="12"/>
  <c r="BA17" i="12"/>
  <c r="BA18" i="12"/>
  <c r="BA19" i="12"/>
  <c r="BA20" i="12"/>
  <c r="BA21" i="12"/>
  <c r="BA22" i="12"/>
  <c r="BA23" i="12"/>
  <c r="BA24" i="12"/>
  <c r="BA25" i="12"/>
  <c r="BA26" i="12"/>
  <c r="BA27" i="12"/>
  <c r="BA28" i="12"/>
  <c r="BA29" i="12"/>
  <c r="BA30" i="12"/>
  <c r="BA31" i="12"/>
  <c r="BA32" i="12"/>
  <c r="BA33" i="12"/>
  <c r="AA33" i="12" s="1"/>
  <c r="BA7" i="12"/>
  <c r="I33" i="12"/>
  <c r="G33" i="12" s="1"/>
  <c r="J33" i="12"/>
  <c r="L33" i="12"/>
  <c r="M33" i="12" s="1"/>
  <c r="AL33" i="12"/>
  <c r="AO33" i="12"/>
  <c r="BB33" i="12"/>
  <c r="D33" i="12"/>
  <c r="E33" i="12"/>
  <c r="E141" i="13"/>
  <c r="F141" i="13"/>
  <c r="G141" i="13"/>
  <c r="E142" i="13"/>
  <c r="F142" i="13"/>
  <c r="G142" i="13"/>
  <c r="E143" i="13"/>
  <c r="F143" i="13"/>
  <c r="G143" i="13"/>
  <c r="E144" i="13"/>
  <c r="F144" i="13"/>
  <c r="G144" i="13"/>
  <c r="Z33" i="12" l="1"/>
  <c r="AB33" i="12"/>
  <c r="AD33" i="12"/>
  <c r="AP33" i="12"/>
  <c r="AJ33" i="12"/>
  <c r="K33" i="12"/>
  <c r="AB6" i="12"/>
  <c r="AB5" i="12"/>
  <c r="G2" i="13"/>
  <c r="G3" i="13"/>
  <c r="G4" i="13"/>
  <c r="G5" i="13"/>
  <c r="G6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5" i="13"/>
  <c r="G26" i="13"/>
  <c r="G27" i="13"/>
  <c r="G28" i="13"/>
  <c r="G29" i="13"/>
  <c r="G30" i="13"/>
  <c r="G31" i="13"/>
  <c r="G32" i="13"/>
  <c r="G33" i="13"/>
  <c r="G34" i="13"/>
  <c r="G35" i="13"/>
  <c r="G36" i="13"/>
  <c r="G37" i="13"/>
  <c r="G38" i="13"/>
  <c r="G39" i="13"/>
  <c r="G40" i="13"/>
  <c r="G41" i="13"/>
  <c r="G42" i="13"/>
  <c r="G43" i="13"/>
  <c r="G44" i="13"/>
  <c r="G45" i="13"/>
  <c r="G46" i="13"/>
  <c r="G47" i="13"/>
  <c r="G48" i="13"/>
  <c r="G49" i="13"/>
  <c r="G50" i="13"/>
  <c r="G51" i="13"/>
  <c r="G52" i="13"/>
  <c r="G53" i="13"/>
  <c r="G54" i="13"/>
  <c r="G55" i="13"/>
  <c r="G56" i="13"/>
  <c r="G57" i="13"/>
  <c r="G58" i="13"/>
  <c r="G59" i="13"/>
  <c r="G60" i="13"/>
  <c r="G61" i="13"/>
  <c r="G62" i="13"/>
  <c r="G63" i="13"/>
  <c r="G64" i="13"/>
  <c r="G65" i="13"/>
  <c r="G66" i="13"/>
  <c r="G67" i="13"/>
  <c r="G68" i="13"/>
  <c r="G69" i="13"/>
  <c r="G70" i="13"/>
  <c r="G71" i="13"/>
  <c r="G72" i="13"/>
  <c r="G73" i="13"/>
  <c r="G74" i="13"/>
  <c r="G75" i="13"/>
  <c r="G76" i="13"/>
  <c r="G77" i="13"/>
  <c r="G78" i="13"/>
  <c r="G79" i="13"/>
  <c r="G80" i="13"/>
  <c r="G81" i="13"/>
  <c r="G82" i="13"/>
  <c r="G83" i="13"/>
  <c r="G84" i="13"/>
  <c r="G85" i="13"/>
  <c r="G86" i="13"/>
  <c r="G87" i="13"/>
  <c r="G88" i="13"/>
  <c r="G89" i="13"/>
  <c r="G90" i="13"/>
  <c r="G91" i="13"/>
  <c r="G92" i="13"/>
  <c r="G93" i="13"/>
  <c r="G94" i="13"/>
  <c r="G95" i="13"/>
  <c r="G96" i="13"/>
  <c r="G97" i="13"/>
  <c r="G98" i="13"/>
  <c r="G99" i="13"/>
  <c r="G100" i="13"/>
  <c r="G101" i="13"/>
  <c r="G102" i="13"/>
  <c r="G103" i="13"/>
  <c r="G104" i="13"/>
  <c r="G105" i="13"/>
  <c r="G106" i="13"/>
  <c r="G107" i="13"/>
  <c r="G108" i="13"/>
  <c r="G109" i="13"/>
  <c r="G110" i="13"/>
  <c r="G111" i="13"/>
  <c r="G112" i="13"/>
  <c r="G113" i="13"/>
  <c r="G114" i="13"/>
  <c r="G115" i="13"/>
  <c r="G116" i="13"/>
  <c r="G117" i="13"/>
  <c r="G118" i="13"/>
  <c r="G119" i="13"/>
  <c r="G120" i="13"/>
  <c r="G121" i="13"/>
  <c r="G122" i="13"/>
  <c r="G123" i="13"/>
  <c r="G124" i="13"/>
  <c r="G125" i="13"/>
  <c r="G126" i="13"/>
  <c r="G127" i="13"/>
  <c r="G128" i="13"/>
  <c r="G129" i="13"/>
  <c r="G130" i="13"/>
  <c r="G131" i="13"/>
  <c r="G132" i="13"/>
  <c r="G133" i="13"/>
  <c r="G134" i="13"/>
  <c r="G135" i="13"/>
  <c r="G136" i="13"/>
  <c r="G137" i="13"/>
  <c r="G138" i="13"/>
  <c r="G139" i="13"/>
  <c r="G140" i="13"/>
  <c r="G7" i="13"/>
  <c r="F7" i="13"/>
  <c r="F2" i="13"/>
  <c r="F3" i="13"/>
  <c r="F4" i="13"/>
  <c r="F5" i="13"/>
  <c r="F6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6" i="13"/>
  <c r="F47" i="13"/>
  <c r="F48" i="13"/>
  <c r="F49" i="13"/>
  <c r="F50" i="13"/>
  <c r="F51" i="13"/>
  <c r="F52" i="13"/>
  <c r="F53" i="13"/>
  <c r="F54" i="13"/>
  <c r="F55" i="13"/>
  <c r="F56" i="13"/>
  <c r="F57" i="13"/>
  <c r="F58" i="13"/>
  <c r="F59" i="13"/>
  <c r="F60" i="13"/>
  <c r="F61" i="13"/>
  <c r="F62" i="13"/>
  <c r="F63" i="13"/>
  <c r="F64" i="13"/>
  <c r="F65" i="13"/>
  <c r="F66" i="13"/>
  <c r="F67" i="13"/>
  <c r="F68" i="13"/>
  <c r="F69" i="13"/>
  <c r="F70" i="13"/>
  <c r="F71" i="13"/>
  <c r="F72" i="13"/>
  <c r="F73" i="13"/>
  <c r="F74" i="13"/>
  <c r="F75" i="13"/>
  <c r="F76" i="13"/>
  <c r="F77" i="13"/>
  <c r="F78" i="13"/>
  <c r="F79" i="13"/>
  <c r="F80" i="13"/>
  <c r="F81" i="13"/>
  <c r="F82" i="13"/>
  <c r="F83" i="13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F101" i="13"/>
  <c r="F102" i="13"/>
  <c r="F103" i="13"/>
  <c r="F104" i="13"/>
  <c r="F105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F124" i="13"/>
  <c r="F125" i="13"/>
  <c r="F126" i="13"/>
  <c r="F127" i="13"/>
  <c r="F128" i="13"/>
  <c r="F129" i="13"/>
  <c r="F130" i="13"/>
  <c r="F131" i="13"/>
  <c r="F132" i="13"/>
  <c r="F133" i="13"/>
  <c r="F134" i="13"/>
  <c r="F135" i="13"/>
  <c r="F136" i="13"/>
  <c r="F137" i="13"/>
  <c r="F138" i="13"/>
  <c r="F139" i="13"/>
  <c r="F140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E27" i="13"/>
  <c r="E28" i="13"/>
  <c r="E29" i="13"/>
  <c r="E30" i="13"/>
  <c r="E31" i="13"/>
  <c r="E32" i="13"/>
  <c r="E33" i="13"/>
  <c r="E34" i="13"/>
  <c r="E35" i="13"/>
  <c r="E36" i="13"/>
  <c r="E37" i="13"/>
  <c r="E38" i="13"/>
  <c r="E39" i="13"/>
  <c r="E40" i="13"/>
  <c r="E41" i="13"/>
  <c r="E42" i="13"/>
  <c r="E43" i="13"/>
  <c r="E44" i="13"/>
  <c r="E45" i="13"/>
  <c r="E46" i="13"/>
  <c r="E47" i="13"/>
  <c r="E48" i="13"/>
  <c r="E49" i="13"/>
  <c r="E50" i="13"/>
  <c r="E51" i="13"/>
  <c r="E52" i="13"/>
  <c r="E53" i="13"/>
  <c r="E54" i="13"/>
  <c r="E55" i="13"/>
  <c r="E56" i="13"/>
  <c r="E57" i="13"/>
  <c r="E58" i="13"/>
  <c r="E59" i="13"/>
  <c r="E60" i="13"/>
  <c r="E61" i="13"/>
  <c r="E62" i="13"/>
  <c r="E63" i="13"/>
  <c r="E64" i="13"/>
  <c r="E65" i="13"/>
  <c r="E66" i="13"/>
  <c r="E67" i="13"/>
  <c r="E68" i="13"/>
  <c r="E69" i="13"/>
  <c r="E70" i="13"/>
  <c r="E71" i="13"/>
  <c r="E72" i="13"/>
  <c r="E73" i="13"/>
  <c r="E74" i="13"/>
  <c r="E75" i="13"/>
  <c r="E76" i="13"/>
  <c r="E77" i="13"/>
  <c r="E78" i="13"/>
  <c r="E79" i="13"/>
  <c r="E80" i="13"/>
  <c r="E81" i="13"/>
  <c r="E82" i="13"/>
  <c r="E83" i="13"/>
  <c r="E84" i="13"/>
  <c r="E85" i="13"/>
  <c r="E86" i="13"/>
  <c r="E87" i="13"/>
  <c r="E88" i="13"/>
  <c r="E89" i="13"/>
  <c r="E90" i="13"/>
  <c r="E91" i="13"/>
  <c r="E92" i="13"/>
  <c r="E93" i="13"/>
  <c r="E94" i="13"/>
  <c r="E95" i="13"/>
  <c r="E96" i="13"/>
  <c r="E97" i="13"/>
  <c r="E98" i="13"/>
  <c r="E99" i="13"/>
  <c r="E100" i="13"/>
  <c r="E101" i="13"/>
  <c r="E102" i="13"/>
  <c r="E103" i="13"/>
  <c r="E104" i="13"/>
  <c r="E105" i="13"/>
  <c r="E106" i="13"/>
  <c r="E107" i="13"/>
  <c r="E108" i="13"/>
  <c r="E109" i="13"/>
  <c r="E110" i="13"/>
  <c r="E111" i="13"/>
  <c r="E112" i="13"/>
  <c r="E113" i="13"/>
  <c r="E114" i="13"/>
  <c r="E115" i="13"/>
  <c r="E116" i="13"/>
  <c r="E117" i="13"/>
  <c r="E118" i="13"/>
  <c r="E119" i="13"/>
  <c r="E120" i="13"/>
  <c r="E121" i="13"/>
  <c r="E122" i="13"/>
  <c r="E123" i="13"/>
  <c r="E124" i="13"/>
  <c r="E125" i="13"/>
  <c r="E126" i="13"/>
  <c r="E127" i="13"/>
  <c r="E128" i="13"/>
  <c r="E129" i="13"/>
  <c r="E130" i="13"/>
  <c r="E131" i="13"/>
  <c r="E132" i="13"/>
  <c r="E133" i="13"/>
  <c r="E134" i="13"/>
  <c r="E135" i="13"/>
  <c r="E136" i="13"/>
  <c r="E137" i="13"/>
  <c r="E138" i="13"/>
  <c r="E139" i="13"/>
  <c r="E140" i="13"/>
  <c r="E2" i="13"/>
  <c r="E3" i="13"/>
  <c r="E4" i="13"/>
  <c r="E5" i="13"/>
  <c r="E6" i="13"/>
  <c r="AL6" i="12"/>
  <c r="AL7" i="12"/>
  <c r="AL8" i="12"/>
  <c r="AL9" i="12"/>
  <c r="AL10" i="12"/>
  <c r="AL11" i="12"/>
  <c r="AL12" i="12"/>
  <c r="AL13" i="12"/>
  <c r="AL14" i="12"/>
  <c r="AL15" i="12"/>
  <c r="AL16" i="12"/>
  <c r="AL17" i="12"/>
  <c r="AL18" i="12"/>
  <c r="AL19" i="12"/>
  <c r="AL20" i="12"/>
  <c r="AL21" i="12"/>
  <c r="AL22" i="12"/>
  <c r="AL23" i="12"/>
  <c r="AL24" i="12"/>
  <c r="AL25" i="12"/>
  <c r="AL26" i="12"/>
  <c r="AL27" i="12"/>
  <c r="AL28" i="12"/>
  <c r="AL29" i="12"/>
  <c r="AL30" i="12"/>
  <c r="AL31" i="12"/>
  <c r="AL32" i="12"/>
  <c r="AL5" i="12"/>
  <c r="L5" i="12"/>
  <c r="AA6" i="12"/>
  <c r="AA5" i="12"/>
  <c r="AQ33" i="12" l="1"/>
  <c r="M5" i="12"/>
  <c r="H33" i="12"/>
  <c r="AM33" i="12"/>
  <c r="AS33" i="12"/>
  <c r="Z5" i="12"/>
  <c r="AC6" i="12"/>
  <c r="AC5" i="12"/>
  <c r="D6" i="12"/>
  <c r="I5" i="12"/>
  <c r="E5" i="12"/>
  <c r="BL33" i="12" l="1"/>
  <c r="AT33" i="12"/>
  <c r="AU33" i="12" s="1"/>
  <c r="L6" i="12"/>
  <c r="J5" i="12"/>
  <c r="AJ5" i="12"/>
  <c r="AG5" i="12"/>
  <c r="N5" i="12"/>
  <c r="E6" i="12"/>
  <c r="AO5" i="12"/>
  <c r="D7" i="12"/>
  <c r="K5" i="12"/>
  <c r="AM5" i="12" s="1"/>
  <c r="I6" i="12" s="1"/>
  <c r="J6" i="12" s="1"/>
  <c r="AP5" i="12"/>
  <c r="BN33" i="12" l="1"/>
  <c r="M6" i="12"/>
  <c r="BM33" i="12"/>
  <c r="AJ6" i="12"/>
  <c r="AG6" i="12"/>
  <c r="BB5" i="12"/>
  <c r="L7" i="12"/>
  <c r="M7" i="12" s="1"/>
  <c r="N6" i="12"/>
  <c r="D8" i="12"/>
  <c r="E7" i="12"/>
  <c r="AQ5" i="12"/>
  <c r="AS5" i="12" s="1"/>
  <c r="AG7" i="12" l="1"/>
  <c r="AA7" i="12"/>
  <c r="D9" i="12"/>
  <c r="E8" i="12"/>
  <c r="AT5" i="12"/>
  <c r="AX5" i="12" s="1"/>
  <c r="BL5" i="12"/>
  <c r="AW5" i="12"/>
  <c r="D10" i="12"/>
  <c r="AB7" i="12" l="1"/>
  <c r="BB6" i="12"/>
  <c r="AJ7" i="12"/>
  <c r="AG8" i="12"/>
  <c r="AA8" i="12"/>
  <c r="E9" i="12"/>
  <c r="AC7" i="12"/>
  <c r="Z6" i="12"/>
  <c r="BD5" i="12"/>
  <c r="AU5" i="12"/>
  <c r="AY5" i="12" s="1"/>
  <c r="BM5" i="12"/>
  <c r="D11" i="12"/>
  <c r="BH5" i="12" l="1"/>
  <c r="BB7" i="12"/>
  <c r="AJ8" i="12"/>
  <c r="Z7" i="12"/>
  <c r="AB8" i="12"/>
  <c r="AG9" i="12"/>
  <c r="AA9" i="12"/>
  <c r="AB9" i="12" s="1"/>
  <c r="BE5" i="12"/>
  <c r="AC8" i="12"/>
  <c r="E10" i="12"/>
  <c r="BN5" i="12"/>
  <c r="D12" i="12"/>
  <c r="BB8" i="12" l="1"/>
  <c r="AJ9" i="12"/>
  <c r="AJ10" i="12"/>
  <c r="AG10" i="12"/>
  <c r="BF5" i="12"/>
  <c r="BJ5" i="12" s="1"/>
  <c r="BI5" i="12"/>
  <c r="BQ5" i="12" s="1"/>
  <c r="Z8" i="12"/>
  <c r="E11" i="12"/>
  <c r="AC9" i="12"/>
  <c r="D13" i="12"/>
  <c r="BB9" i="12" l="1"/>
  <c r="AG11" i="12"/>
  <c r="AJ11" i="12"/>
  <c r="AA10" i="12"/>
  <c r="E12" i="12"/>
  <c r="BR5" i="12"/>
  <c r="D14" i="12"/>
  <c r="BP5" i="12"/>
  <c r="AB10" i="12" l="1"/>
  <c r="BB10" i="12"/>
  <c r="AA12" i="12"/>
  <c r="AB12" i="12" s="1"/>
  <c r="AG12" i="12"/>
  <c r="AA11" i="12"/>
  <c r="AC10" i="12"/>
  <c r="E13" i="12"/>
  <c r="Z9" i="12"/>
  <c r="AD5" i="12"/>
  <c r="BT5" i="12"/>
  <c r="R5" i="12" s="1"/>
  <c r="D15" i="12"/>
  <c r="S5" i="12" l="1"/>
  <c r="BB11" i="12"/>
  <c r="AJ12" i="12"/>
  <c r="Z10" i="12"/>
  <c r="AB11" i="12"/>
  <c r="AG13" i="12"/>
  <c r="AJ13" i="12"/>
  <c r="AA13" i="12"/>
  <c r="AB13" i="12" s="1"/>
  <c r="AC12" i="12"/>
  <c r="AC11" i="12"/>
  <c r="Z11" i="12"/>
  <c r="E14" i="12"/>
  <c r="T5" i="12"/>
  <c r="V5" i="12" s="1"/>
  <c r="W5" i="12"/>
  <c r="X5" i="12"/>
  <c r="D16" i="12"/>
  <c r="BB12" i="12" l="1"/>
  <c r="AJ14" i="12"/>
  <c r="AA14" i="12"/>
  <c r="AB14" i="12" s="1"/>
  <c r="AG14" i="12"/>
  <c r="AC13" i="12"/>
  <c r="E15" i="12"/>
  <c r="Z12" i="12"/>
  <c r="D17" i="12"/>
  <c r="BB13" i="12" l="1"/>
  <c r="AG15" i="12"/>
  <c r="AA15" i="12"/>
  <c r="E16" i="12"/>
  <c r="Z13" i="12"/>
  <c r="AC14" i="12"/>
  <c r="D18" i="12"/>
  <c r="BB14" i="12" l="1"/>
  <c r="AJ15" i="12"/>
  <c r="Z14" i="12"/>
  <c r="AB15" i="12"/>
  <c r="AG16" i="12"/>
  <c r="AJ16" i="12"/>
  <c r="AC15" i="12"/>
  <c r="E17" i="12"/>
  <c r="D19" i="12"/>
  <c r="BB15" i="12" l="1"/>
  <c r="AJ17" i="12"/>
  <c r="AG17" i="12"/>
  <c r="AA16" i="12"/>
  <c r="AB16" i="12" s="1"/>
  <c r="E18" i="12"/>
  <c r="D20" i="12"/>
  <c r="BB16" i="12" l="1"/>
  <c r="AJ18" i="12"/>
  <c r="AG18" i="12"/>
  <c r="BB17" i="12"/>
  <c r="AA17" i="12"/>
  <c r="AC16" i="12"/>
  <c r="E19" i="12"/>
  <c r="Z15" i="12"/>
  <c r="D21" i="12"/>
  <c r="AC17" i="12" l="1"/>
  <c r="AB17" i="12"/>
  <c r="AA19" i="12"/>
  <c r="AB19" i="12" s="1"/>
  <c r="AG19" i="12"/>
  <c r="E20" i="12"/>
  <c r="AA18" i="12"/>
  <c r="Z16" i="12"/>
  <c r="D22" i="12"/>
  <c r="BB18" i="12" l="1"/>
  <c r="AJ19" i="12"/>
  <c r="Z17" i="12"/>
  <c r="AB18" i="12"/>
  <c r="AG20" i="12"/>
  <c r="AJ20" i="12"/>
  <c r="BB19" i="12"/>
  <c r="AC18" i="12"/>
  <c r="AC19" i="12"/>
  <c r="E21" i="12"/>
  <c r="Z18" i="12"/>
  <c r="D23" i="12"/>
  <c r="AG21" i="12" l="1"/>
  <c r="AA21" i="12"/>
  <c r="AB21" i="12" s="1"/>
  <c r="E22" i="12"/>
  <c r="AA20" i="12"/>
  <c r="D24" i="12"/>
  <c r="BB20" i="12" l="1"/>
  <c r="AJ21" i="12"/>
  <c r="Z19" i="12"/>
  <c r="AB20" i="12"/>
  <c r="AA22" i="12"/>
  <c r="AG22" i="12"/>
  <c r="E23" i="12"/>
  <c r="AC21" i="12"/>
  <c r="Z20" i="12"/>
  <c r="AC20" i="12"/>
  <c r="D25" i="12"/>
  <c r="BB21" i="12" l="1"/>
  <c r="AJ22" i="12"/>
  <c r="Z21" i="12"/>
  <c r="AB22" i="12"/>
  <c r="AG23" i="12"/>
  <c r="AA23" i="12"/>
  <c r="AC22" i="12"/>
  <c r="E24" i="12"/>
  <c r="D26" i="12"/>
  <c r="BB22" i="12" l="1"/>
  <c r="AJ23" i="12"/>
  <c r="Z22" i="12"/>
  <c r="AB23" i="12"/>
  <c r="AA24" i="12"/>
  <c r="AB24" i="12" s="1"/>
  <c r="AG24" i="12"/>
  <c r="AC23" i="12"/>
  <c r="E25" i="12"/>
  <c r="D27" i="12"/>
  <c r="BB23" i="12" l="1"/>
  <c r="AJ24" i="12"/>
  <c r="AA25" i="12"/>
  <c r="AG25" i="12"/>
  <c r="E26" i="12"/>
  <c r="Z23" i="12"/>
  <c r="AC24" i="12"/>
  <c r="D28" i="12"/>
  <c r="BB24" i="12" l="1"/>
  <c r="AJ25" i="12"/>
  <c r="AC25" i="12"/>
  <c r="AB25" i="12"/>
  <c r="AG26" i="12"/>
  <c r="Z24" i="12"/>
  <c r="E27" i="12"/>
  <c r="D29" i="12"/>
  <c r="BB25" i="12" l="1"/>
  <c r="AJ26" i="12"/>
  <c r="AJ27" i="12"/>
  <c r="AA27" i="12"/>
  <c r="AB27" i="12" s="1"/>
  <c r="AG27" i="12"/>
  <c r="E28" i="12"/>
  <c r="AA26" i="12"/>
  <c r="D30" i="12"/>
  <c r="BB26" i="12" l="1"/>
  <c r="Z25" i="12"/>
  <c r="AB26" i="12"/>
  <c r="AA28" i="12"/>
  <c r="AG28" i="12"/>
  <c r="E29" i="12"/>
  <c r="Z26" i="12"/>
  <c r="AC27" i="12"/>
  <c r="AC26" i="12"/>
  <c r="D31" i="12"/>
  <c r="BB27" i="12" l="1"/>
  <c r="AJ28" i="12"/>
  <c r="AC28" i="12"/>
  <c r="AB28" i="12"/>
  <c r="AA29" i="12"/>
  <c r="AG29" i="12"/>
  <c r="Z27" i="12"/>
  <c r="E30" i="12"/>
  <c r="D32" i="12"/>
  <c r="BB28" i="12" l="1"/>
  <c r="AJ29" i="12"/>
  <c r="AC29" i="12"/>
  <c r="AB29" i="12"/>
  <c r="AA30" i="12"/>
  <c r="AG30" i="12"/>
  <c r="Z28" i="12"/>
  <c r="E31" i="12"/>
  <c r="BB29" i="12" l="1"/>
  <c r="AJ30" i="12"/>
  <c r="Z29" i="12"/>
  <c r="AB30" i="12"/>
  <c r="AG31" i="12"/>
  <c r="AC30" i="12"/>
  <c r="E32" i="12"/>
  <c r="BB30" i="12" l="1"/>
  <c r="AJ31" i="12"/>
  <c r="AA32" i="12"/>
  <c r="AG32" i="12"/>
  <c r="AA31" i="12"/>
  <c r="AB31" i="12" s="1"/>
  <c r="AB32" i="12" l="1"/>
  <c r="AC33" i="12"/>
  <c r="BB31" i="12"/>
  <c r="AJ32" i="12"/>
  <c r="BB32" i="12"/>
  <c r="AC32" i="12"/>
  <c r="Z31" i="12"/>
  <c r="AC31" i="12"/>
  <c r="Z30" i="12"/>
  <c r="AO6" i="12"/>
  <c r="G5" i="12"/>
  <c r="K6" i="12"/>
  <c r="AP6" i="12"/>
  <c r="AQ6" i="12" l="1"/>
  <c r="AT6" i="12" s="1"/>
  <c r="H5" i="12"/>
  <c r="AM6" i="12"/>
  <c r="I7" i="12" s="1"/>
  <c r="J7" i="12" s="1"/>
  <c r="L8" i="12" l="1"/>
  <c r="N7" i="12"/>
  <c r="Z32" i="12"/>
  <c r="AX6" i="12"/>
  <c r="BM6" i="12"/>
  <c r="AP7" i="12"/>
  <c r="AO7" i="12"/>
  <c r="K7" i="12"/>
  <c r="G6" i="12"/>
  <c r="AS6" i="12"/>
  <c r="M8" i="12" l="1"/>
  <c r="AQ7" i="12"/>
  <c r="AT7" i="12" s="1"/>
  <c r="BM7" i="12" s="1"/>
  <c r="AM7" i="12"/>
  <c r="I8" i="12" s="1"/>
  <c r="J8" i="12" s="1"/>
  <c r="H6" i="12"/>
  <c r="AW6" i="12"/>
  <c r="AU6" i="12"/>
  <c r="BL6" i="12"/>
  <c r="L9" i="12" l="1"/>
  <c r="N8" i="12"/>
  <c r="BD6" i="12"/>
  <c r="AS7" i="12"/>
  <c r="AU7" i="12" s="1"/>
  <c r="AP8" i="12"/>
  <c r="AO8" i="12"/>
  <c r="K8" i="12"/>
  <c r="G7" i="12"/>
  <c r="AY6" i="12"/>
  <c r="BN6" i="12"/>
  <c r="BH6" i="12" l="1"/>
  <c r="M9" i="12"/>
  <c r="BE6" i="12"/>
  <c r="BL7" i="12"/>
  <c r="AQ8" i="12"/>
  <c r="AT8" i="12" s="1"/>
  <c r="BM8" i="12" s="1"/>
  <c r="AM8" i="12"/>
  <c r="I9" i="12" s="1"/>
  <c r="J9" i="12" s="1"/>
  <c r="H7" i="12"/>
  <c r="BN7" i="12"/>
  <c r="L10" i="12" l="1"/>
  <c r="M10" i="12" s="1"/>
  <c r="N9" i="12"/>
  <c r="BF6" i="12"/>
  <c r="BJ6" i="12" s="1"/>
  <c r="BI6" i="12"/>
  <c r="AS8" i="12"/>
  <c r="AU8" i="12" s="1"/>
  <c r="AO9" i="12"/>
  <c r="AP9" i="12"/>
  <c r="K9" i="12"/>
  <c r="G8" i="12"/>
  <c r="BL8" i="12" l="1"/>
  <c r="AQ9" i="12"/>
  <c r="AT9" i="12" s="1"/>
  <c r="BP6" i="12"/>
  <c r="BQ6" i="12"/>
  <c r="AM9" i="12"/>
  <c r="I10" i="12" s="1"/>
  <c r="J10" i="12" s="1"/>
  <c r="H8" i="12"/>
  <c r="BN8" i="12"/>
  <c r="L11" i="12" l="1"/>
  <c r="M11" i="12" s="1"/>
  <c r="N10" i="12"/>
  <c r="AS9" i="12"/>
  <c r="AU9" i="12" s="1"/>
  <c r="BR6" i="12"/>
  <c r="BT6" i="12" s="1"/>
  <c r="BU6" i="12" s="1"/>
  <c r="AO10" i="12"/>
  <c r="AP10" i="12"/>
  <c r="G9" i="12"/>
  <c r="K10" i="12"/>
  <c r="BM9" i="12"/>
  <c r="BL9" i="12" l="1"/>
  <c r="AY7" i="12"/>
  <c r="AD6" i="12"/>
  <c r="R6" i="12"/>
  <c r="BN9" i="12"/>
  <c r="AW7" i="12"/>
  <c r="AM10" i="12"/>
  <c r="I11" i="12" s="1"/>
  <c r="J11" i="12" s="1"/>
  <c r="H9" i="12"/>
  <c r="AQ10" i="12"/>
  <c r="AT10" i="12" s="1"/>
  <c r="AX7" i="12"/>
  <c r="W6" i="12" l="1"/>
  <c r="S6" i="12"/>
  <c r="L12" i="12"/>
  <c r="M12" i="12" s="1"/>
  <c r="N11" i="12"/>
  <c r="BD7" i="12"/>
  <c r="BH7" i="12" s="1"/>
  <c r="X6" i="12"/>
  <c r="BM10" i="12"/>
  <c r="AP11" i="12"/>
  <c r="AO11" i="12"/>
  <c r="K11" i="12"/>
  <c r="G10" i="12"/>
  <c r="P5" i="12"/>
  <c r="T6" i="12"/>
  <c r="AS10" i="12"/>
  <c r="BE7" i="12" l="1"/>
  <c r="AQ11" i="12"/>
  <c r="AT11" i="12" s="1"/>
  <c r="BM11" i="12" s="1"/>
  <c r="V6" i="12"/>
  <c r="Q5" i="12"/>
  <c r="AU10" i="12"/>
  <c r="BL10" i="12"/>
  <c r="AM11" i="12"/>
  <c r="I12" i="12" s="1"/>
  <c r="J12" i="12" s="1"/>
  <c r="H10" i="12"/>
  <c r="L13" i="12" l="1"/>
  <c r="M13" i="12" s="1"/>
  <c r="N12" i="12"/>
  <c r="BF7" i="12"/>
  <c r="BJ7" i="12" s="1"/>
  <c r="BI7" i="12"/>
  <c r="AS11" i="12"/>
  <c r="BL11" i="12" s="1"/>
  <c r="BN10" i="12"/>
  <c r="AO12" i="12"/>
  <c r="AP12" i="12"/>
  <c r="K12" i="12"/>
  <c r="G11" i="12"/>
  <c r="AU11" i="12" l="1"/>
  <c r="BN11" i="12" s="1"/>
  <c r="AQ12" i="12"/>
  <c r="AT12" i="12" s="1"/>
  <c r="AM12" i="12"/>
  <c r="I13" i="12" s="1"/>
  <c r="J13" i="12" s="1"/>
  <c r="H11" i="12"/>
  <c r="BP7" i="12"/>
  <c r="L14" i="12" l="1"/>
  <c r="M14" i="12" s="1"/>
  <c r="N13" i="12"/>
  <c r="AS12" i="12"/>
  <c r="BL12" i="12" s="1"/>
  <c r="BR7" i="12"/>
  <c r="AP13" i="12"/>
  <c r="AO13" i="12"/>
  <c r="K13" i="12"/>
  <c r="G12" i="12"/>
  <c r="BQ7" i="12"/>
  <c r="BM12" i="12"/>
  <c r="AU12" i="12" l="1"/>
  <c r="BN12" i="12" s="1"/>
  <c r="AW8" i="12"/>
  <c r="AX8" i="12"/>
  <c r="AD7" i="12"/>
  <c r="AQ13" i="12"/>
  <c r="AS13" i="12" s="1"/>
  <c r="BL13" i="12" s="1"/>
  <c r="BT7" i="12"/>
  <c r="AY8" i="12"/>
  <c r="AM13" i="12"/>
  <c r="I14" i="12" s="1"/>
  <c r="J14" i="12" s="1"/>
  <c r="H12" i="12"/>
  <c r="L15" i="12" l="1"/>
  <c r="M15" i="12" s="1"/>
  <c r="N14" i="12"/>
  <c r="BD8" i="12"/>
  <c r="BH8" i="12" s="1"/>
  <c r="BV7" i="12"/>
  <c r="BU7" i="12"/>
  <c r="AT13" i="12"/>
  <c r="AU13" i="12" s="1"/>
  <c r="R7" i="12"/>
  <c r="AP14" i="12"/>
  <c r="AO14" i="12"/>
  <c r="K14" i="12"/>
  <c r="G13" i="12"/>
  <c r="W7" i="12" l="1"/>
  <c r="S7" i="12"/>
  <c r="BE8" i="12"/>
  <c r="BM13" i="12"/>
  <c r="X7" i="12"/>
  <c r="P6" i="12"/>
  <c r="T7" i="12"/>
  <c r="Q6" i="12" s="1"/>
  <c r="AQ14" i="12"/>
  <c r="AT14" i="12" s="1"/>
  <c r="AM14" i="12"/>
  <c r="I15" i="12" s="1"/>
  <c r="J15" i="12" s="1"/>
  <c r="H13" i="12"/>
  <c r="BN13" i="12"/>
  <c r="L16" i="12" l="1"/>
  <c r="M16" i="12" s="1"/>
  <c r="N15" i="12"/>
  <c r="BF8" i="12"/>
  <c r="BJ8" i="12" s="1"/>
  <c r="BI8" i="12"/>
  <c r="V7" i="12"/>
  <c r="AS14" i="12"/>
  <c r="BL14" i="12" s="1"/>
  <c r="BM14" i="12"/>
  <c r="AO15" i="12"/>
  <c r="AP15" i="12"/>
  <c r="K15" i="12"/>
  <c r="G14" i="12"/>
  <c r="AU14" i="12" l="1"/>
  <c r="BN14" i="12" s="1"/>
  <c r="AQ15" i="12"/>
  <c r="AT15" i="12" s="1"/>
  <c r="AM15" i="12"/>
  <c r="I16" i="12" s="1"/>
  <c r="J16" i="12" s="1"/>
  <c r="H14" i="12"/>
  <c r="L17" i="12" l="1"/>
  <c r="M17" i="12" s="1"/>
  <c r="N16" i="12"/>
  <c r="AD8" i="12"/>
  <c r="AS15" i="12"/>
  <c r="BL15" i="12" s="1"/>
  <c r="AO16" i="12"/>
  <c r="AP16" i="12"/>
  <c r="K16" i="12"/>
  <c r="G15" i="12"/>
  <c r="BM15" i="12"/>
  <c r="AU15" i="12" l="1"/>
  <c r="BN15" i="12" s="1"/>
  <c r="AQ16" i="12"/>
  <c r="AT16" i="12" s="1"/>
  <c r="AM16" i="12"/>
  <c r="I17" i="12" s="1"/>
  <c r="J17" i="12" s="1"/>
  <c r="H15" i="12"/>
  <c r="L18" i="12" l="1"/>
  <c r="M18" i="12" s="1"/>
  <c r="N17" i="12"/>
  <c r="AS16" i="12"/>
  <c r="BL16" i="12" s="1"/>
  <c r="AO17" i="12"/>
  <c r="AP17" i="12"/>
  <c r="K17" i="12"/>
  <c r="G16" i="12"/>
  <c r="BM16" i="12"/>
  <c r="AU16" i="12" l="1"/>
  <c r="BN16" i="12" s="1"/>
  <c r="AM17" i="12"/>
  <c r="I18" i="12" s="1"/>
  <c r="J18" i="12" s="1"/>
  <c r="H16" i="12"/>
  <c r="AQ17" i="12"/>
  <c r="AS17" i="12" s="1"/>
  <c r="L19" i="12" l="1"/>
  <c r="M19" i="12" s="1"/>
  <c r="N18" i="12"/>
  <c r="AO18" i="12"/>
  <c r="AP18" i="12"/>
  <c r="K18" i="12"/>
  <c r="G17" i="12"/>
  <c r="BL17" i="12"/>
  <c r="AT17" i="12"/>
  <c r="AQ18" i="12" l="1"/>
  <c r="AS18" i="12" s="1"/>
  <c r="AM18" i="12"/>
  <c r="I19" i="12" s="1"/>
  <c r="J19" i="12" s="1"/>
  <c r="H17" i="12"/>
  <c r="BM17" i="12"/>
  <c r="AU17" i="12"/>
  <c r="L20" i="12" l="1"/>
  <c r="M20" i="12" s="1"/>
  <c r="N19" i="12"/>
  <c r="AT18" i="12"/>
  <c r="AU18" i="12" s="1"/>
  <c r="AO19" i="12"/>
  <c r="AP19" i="12"/>
  <c r="K19" i="12"/>
  <c r="G18" i="12"/>
  <c r="BN17" i="12"/>
  <c r="BL18" i="12"/>
  <c r="BM18" i="12" l="1"/>
  <c r="BN18" i="12"/>
  <c r="AQ19" i="12"/>
  <c r="AS19" i="12" s="1"/>
  <c r="BL19" i="12" s="1"/>
  <c r="AM19" i="12"/>
  <c r="I20" i="12" s="1"/>
  <c r="J20" i="12" s="1"/>
  <c r="H18" i="12"/>
  <c r="L21" i="12" l="1"/>
  <c r="M21" i="12" s="1"/>
  <c r="N20" i="12"/>
  <c r="AO20" i="12"/>
  <c r="AP20" i="12"/>
  <c r="K20" i="12"/>
  <c r="G19" i="12"/>
  <c r="AT19" i="12"/>
  <c r="AU19" i="12" s="1"/>
  <c r="BN19" i="12" l="1"/>
  <c r="AM20" i="12"/>
  <c r="I21" i="12" s="1"/>
  <c r="J21" i="12" s="1"/>
  <c r="H19" i="12"/>
  <c r="BM19" i="12"/>
  <c r="AQ20" i="12"/>
  <c r="AS20" i="12" s="1"/>
  <c r="BL20" i="12" s="1"/>
  <c r="L22" i="12" l="1"/>
  <c r="M22" i="12" s="1"/>
  <c r="N21" i="12"/>
  <c r="AP21" i="12"/>
  <c r="AO21" i="12"/>
  <c r="K21" i="12"/>
  <c r="G20" i="12"/>
  <c r="AT20" i="12"/>
  <c r="AQ21" i="12" l="1"/>
  <c r="AT21" i="12" s="1"/>
  <c r="BM21" i="12" s="1"/>
  <c r="BM20" i="12"/>
  <c r="AU20" i="12"/>
  <c r="AM21" i="12"/>
  <c r="I22" i="12" s="1"/>
  <c r="J22" i="12" s="1"/>
  <c r="H20" i="12"/>
  <c r="L23" i="12" l="1"/>
  <c r="M23" i="12" s="1"/>
  <c r="N22" i="12"/>
  <c r="AS21" i="12"/>
  <c r="AU21" i="12" s="1"/>
  <c r="BN21" i="12" s="1"/>
  <c r="BN20" i="12"/>
  <c r="AO22" i="12"/>
  <c r="AP22" i="12"/>
  <c r="K22" i="12"/>
  <c r="G21" i="12"/>
  <c r="BL21" i="12" l="1"/>
  <c r="AQ22" i="12"/>
  <c r="AT22" i="12" s="1"/>
  <c r="BM22" i="12" s="1"/>
  <c r="AM22" i="12"/>
  <c r="I23" i="12" s="1"/>
  <c r="J23" i="12" s="1"/>
  <c r="H21" i="12"/>
  <c r="L24" i="12" l="1"/>
  <c r="M24" i="12" s="1"/>
  <c r="N23" i="12"/>
  <c r="AS22" i="12"/>
  <c r="BL22" i="12" s="1"/>
  <c r="AO23" i="12"/>
  <c r="AP23" i="12"/>
  <c r="K23" i="12"/>
  <c r="G22" i="12"/>
  <c r="AU22" i="12" l="1"/>
  <c r="BN22" i="12" s="1"/>
  <c r="AM23" i="12"/>
  <c r="I24" i="12" s="1"/>
  <c r="J24" i="12" s="1"/>
  <c r="H22" i="12"/>
  <c r="AQ23" i="12"/>
  <c r="AT23" i="12" s="1"/>
  <c r="L25" i="12" l="1"/>
  <c r="M25" i="12" s="1"/>
  <c r="N24" i="12"/>
  <c r="AO24" i="12"/>
  <c r="AP24" i="12"/>
  <c r="K24" i="12"/>
  <c r="G23" i="12"/>
  <c r="AS23" i="12"/>
  <c r="BM23" i="12"/>
  <c r="AM24" i="12" l="1"/>
  <c r="I25" i="12" s="1"/>
  <c r="J25" i="12" s="1"/>
  <c r="H23" i="12"/>
  <c r="AQ24" i="12"/>
  <c r="AT24" i="12" s="1"/>
  <c r="AU23" i="12"/>
  <c r="BL23" i="12"/>
  <c r="L26" i="12" l="1"/>
  <c r="M26" i="12" s="1"/>
  <c r="N25" i="12"/>
  <c r="BM24" i="12"/>
  <c r="AP25" i="12"/>
  <c r="AO25" i="12"/>
  <c r="K25" i="12"/>
  <c r="G24" i="12"/>
  <c r="BN23" i="12"/>
  <c r="AS24" i="12"/>
  <c r="AM25" i="12" l="1"/>
  <c r="I26" i="12" s="1"/>
  <c r="J26" i="12" s="1"/>
  <c r="H24" i="12"/>
  <c r="AQ25" i="12"/>
  <c r="AT25" i="12" s="1"/>
  <c r="BM25" i="12" s="1"/>
  <c r="AU24" i="12"/>
  <c r="BL24" i="12"/>
  <c r="L27" i="12" l="1"/>
  <c r="M27" i="12" s="1"/>
  <c r="N26" i="12"/>
  <c r="BN24" i="12"/>
  <c r="AP26" i="12"/>
  <c r="AO26" i="12"/>
  <c r="K26" i="12"/>
  <c r="G25" i="12"/>
  <c r="AS25" i="12"/>
  <c r="AQ26" i="12" l="1"/>
  <c r="AT26" i="12" s="1"/>
  <c r="AM26" i="12"/>
  <c r="I27" i="12" s="1"/>
  <c r="J27" i="12" s="1"/>
  <c r="H25" i="12"/>
  <c r="AU25" i="12"/>
  <c r="BL25" i="12"/>
  <c r="L28" i="12" l="1"/>
  <c r="M28" i="12" s="1"/>
  <c r="N27" i="12"/>
  <c r="AS26" i="12"/>
  <c r="BL26" i="12" s="1"/>
  <c r="BN25" i="12"/>
  <c r="AO27" i="12"/>
  <c r="AP27" i="12"/>
  <c r="K27" i="12"/>
  <c r="G26" i="12"/>
  <c r="BM26" i="12"/>
  <c r="AU26" i="12" l="1"/>
  <c r="BN26" i="12" s="1"/>
  <c r="AQ27" i="12"/>
  <c r="AT27" i="12" s="1"/>
  <c r="AM27" i="12"/>
  <c r="I28" i="12" s="1"/>
  <c r="J28" i="12" s="1"/>
  <c r="H26" i="12"/>
  <c r="L29" i="12" l="1"/>
  <c r="M29" i="12" s="1"/>
  <c r="N28" i="12"/>
  <c r="AS27" i="12"/>
  <c r="AU27" i="12" s="1"/>
  <c r="AP28" i="12"/>
  <c r="AO28" i="12"/>
  <c r="K28" i="12"/>
  <c r="G27" i="12"/>
  <c r="BM27" i="12"/>
  <c r="BL27" i="12" l="1"/>
  <c r="AQ28" i="12"/>
  <c r="AT28" i="12" s="1"/>
  <c r="BN27" i="12"/>
  <c r="AM28" i="12"/>
  <c r="I29" i="12" s="1"/>
  <c r="J29" i="12" s="1"/>
  <c r="H27" i="12"/>
  <c r="L30" i="12" l="1"/>
  <c r="M30" i="12" s="1"/>
  <c r="N29" i="12"/>
  <c r="AS28" i="12"/>
  <c r="AU28" i="12" s="1"/>
  <c r="AP29" i="12"/>
  <c r="AO29" i="12"/>
  <c r="K29" i="12"/>
  <c r="G28" i="12"/>
  <c r="BM28" i="12"/>
  <c r="BL28" i="12" l="1"/>
  <c r="AQ29" i="12"/>
  <c r="AS29" i="12" s="1"/>
  <c r="BL29" i="12" s="1"/>
  <c r="BN28" i="12"/>
  <c r="AM29" i="12"/>
  <c r="I30" i="12" s="1"/>
  <c r="J30" i="12" s="1"/>
  <c r="H28" i="12"/>
  <c r="L31" i="12" l="1"/>
  <c r="M31" i="12" s="1"/>
  <c r="N30" i="12"/>
  <c r="AT29" i="12"/>
  <c r="BM29" i="12" s="1"/>
  <c r="AP30" i="12"/>
  <c r="AO30" i="12"/>
  <c r="K30" i="12"/>
  <c r="G29" i="12"/>
  <c r="AU29" i="12" l="1"/>
  <c r="BN29" i="12" s="1"/>
  <c r="AQ30" i="12"/>
  <c r="AT30" i="12" s="1"/>
  <c r="BM30" i="12" s="1"/>
  <c r="AM30" i="12"/>
  <c r="I31" i="12" s="1"/>
  <c r="J31" i="12" s="1"/>
  <c r="H29" i="12"/>
  <c r="L32" i="12" l="1"/>
  <c r="N31" i="12"/>
  <c r="AS30" i="12"/>
  <c r="BL30" i="12" s="1"/>
  <c r="AP31" i="12"/>
  <c r="AO31" i="12"/>
  <c r="K31" i="12"/>
  <c r="G30" i="12"/>
  <c r="M32" i="12" l="1"/>
  <c r="N33" i="12"/>
  <c r="AU30" i="12"/>
  <c r="BN30" i="12" s="1"/>
  <c r="AM31" i="12"/>
  <c r="I32" i="12" s="1"/>
  <c r="J32" i="12" s="1"/>
  <c r="H30" i="12"/>
  <c r="AQ31" i="12"/>
  <c r="AS31" i="12" s="1"/>
  <c r="BL31" i="12" s="1"/>
  <c r="N32" i="12" l="1"/>
  <c r="AT31" i="12"/>
  <c r="BM31" i="12" s="1"/>
  <c r="K32" i="12"/>
  <c r="G31" i="12"/>
  <c r="AP32" i="12" l="1"/>
  <c r="AO32" i="12"/>
  <c r="AU31" i="12"/>
  <c r="BN31" i="12" s="1"/>
  <c r="AM32" i="12"/>
  <c r="H31" i="12"/>
  <c r="AQ32" i="12" l="1"/>
  <c r="G32" i="12"/>
  <c r="AS32" i="12"/>
  <c r="AT32" i="12"/>
  <c r="BM32" i="12" l="1"/>
  <c r="AU32" i="12"/>
  <c r="BL32" i="12"/>
  <c r="H32" i="12"/>
  <c r="BN32" i="12" l="1"/>
  <c r="AD9" i="12" l="1"/>
  <c r="BP8" i="12" l="1"/>
  <c r="BQ8" i="12" l="1"/>
  <c r="BR8" i="12" l="1"/>
  <c r="BT8" i="12" s="1"/>
  <c r="BU8" i="12" l="1"/>
  <c r="BV8" i="12"/>
  <c r="R8" i="12"/>
  <c r="AW9" i="12"/>
  <c r="AX9" i="12"/>
  <c r="AY9" i="12"/>
  <c r="X8" i="12" l="1"/>
  <c r="S8" i="12"/>
  <c r="BD9" i="12"/>
  <c r="BH9" i="12" s="1"/>
  <c r="P7" i="12"/>
  <c r="W8" i="12"/>
  <c r="T8" i="12"/>
  <c r="V8" i="12" s="1"/>
  <c r="BE9" i="12" l="1"/>
  <c r="Q7" i="12"/>
  <c r="BF9" i="12" l="1"/>
  <c r="BJ9" i="12" s="1"/>
  <c r="BI9" i="12"/>
  <c r="BP9" i="12"/>
  <c r="BQ9" i="12" l="1"/>
  <c r="AW10" i="12"/>
  <c r="R9" i="12"/>
  <c r="X9" i="12" l="1"/>
  <c r="S9" i="12"/>
  <c r="BD10" i="12"/>
  <c r="BH10" i="12" s="1"/>
  <c r="BR9" i="12"/>
  <c r="BT9" i="12" s="1"/>
  <c r="BU9" i="12" s="1"/>
  <c r="AX10" i="12"/>
  <c r="AY10" i="12"/>
  <c r="W9" i="12"/>
  <c r="P8" i="12"/>
  <c r="T9" i="12"/>
  <c r="BE10" i="12" l="1"/>
  <c r="BF10" i="12" s="1"/>
  <c r="BJ10" i="12" s="1"/>
  <c r="BV9" i="12"/>
  <c r="V9" i="12"/>
  <c r="Q8" i="12"/>
  <c r="BI10" i="12" l="1"/>
  <c r="BQ10" i="12"/>
  <c r="BP10" i="12" l="1"/>
  <c r="BR10" i="12" l="1"/>
  <c r="BT10" i="12" s="1"/>
  <c r="BV10" i="12" s="1"/>
  <c r="AX11" i="12"/>
  <c r="AW11" i="12"/>
  <c r="AY11" i="12"/>
  <c r="AD10" i="12"/>
  <c r="R10" i="12"/>
  <c r="S10" i="12" s="1"/>
  <c r="BU10" i="12" l="1"/>
  <c r="BD11" i="12"/>
  <c r="BH11" i="12" s="1"/>
  <c r="W10" i="12"/>
  <c r="P9" i="12"/>
  <c r="T10" i="12"/>
  <c r="X10" i="12"/>
  <c r="BE11" i="12" l="1"/>
  <c r="V10" i="12"/>
  <c r="Q9" i="12"/>
  <c r="BF11" i="12" l="1"/>
  <c r="BJ11" i="12" s="1"/>
  <c r="BI11" i="12"/>
  <c r="BQ11" i="12" s="1"/>
  <c r="BR11" i="12" l="1"/>
  <c r="AY12" i="12"/>
  <c r="AX12" i="12"/>
  <c r="AW12" i="12"/>
  <c r="BP11" i="12"/>
  <c r="BT11" i="12" l="1"/>
  <c r="BU11" i="12" s="1"/>
  <c r="BD12" i="12"/>
  <c r="BH12" i="12" s="1"/>
  <c r="AD11" i="12"/>
  <c r="R11" i="12"/>
  <c r="BV11" i="12"/>
  <c r="X11" i="12" l="1"/>
  <c r="S11" i="12"/>
  <c r="BE12" i="12"/>
  <c r="W11" i="12"/>
  <c r="P10" i="12"/>
  <c r="T11" i="12"/>
  <c r="BF12" i="12" l="1"/>
  <c r="BJ12" i="12" s="1"/>
  <c r="BI12" i="12"/>
  <c r="V11" i="12"/>
  <c r="Q10" i="12"/>
  <c r="BP12" i="12" l="1"/>
  <c r="BQ12" i="12"/>
  <c r="AD12" i="12" l="1"/>
  <c r="BR12" i="12"/>
  <c r="BT12" i="12" s="1"/>
  <c r="AX13" i="12"/>
  <c r="AW13" i="12"/>
  <c r="AY13" i="12"/>
  <c r="BD13" i="12" l="1"/>
  <c r="BH13" i="12" s="1"/>
  <c r="R12" i="12"/>
  <c r="S12" i="12" s="1"/>
  <c r="BV12" i="12"/>
  <c r="BU12" i="12"/>
  <c r="BE13" i="12" l="1"/>
  <c r="W12" i="12"/>
  <c r="T12" i="12"/>
  <c r="P11" i="12"/>
  <c r="X12" i="12"/>
  <c r="BF13" i="12" l="1"/>
  <c r="BJ13" i="12" s="1"/>
  <c r="BQ13" i="12" s="1"/>
  <c r="BI13" i="12"/>
  <c r="V12" i="12"/>
  <c r="Q11" i="12"/>
  <c r="BR13" i="12" l="1"/>
  <c r="BP13" i="12"/>
  <c r="AW14" i="12" l="1"/>
  <c r="AY14" i="12"/>
  <c r="AX14" i="12"/>
  <c r="BT13" i="12"/>
  <c r="BV13" i="12" s="1"/>
  <c r="AD13" i="12"/>
  <c r="R13" i="12"/>
  <c r="S13" i="12" s="1"/>
  <c r="BD14" i="12" l="1"/>
  <c r="BH14" i="12" s="1"/>
  <c r="BU13" i="12"/>
  <c r="W13" i="12"/>
  <c r="P12" i="12"/>
  <c r="T13" i="12"/>
  <c r="X13" i="12"/>
  <c r="BE14" i="12" l="1"/>
  <c r="V13" i="12"/>
  <c r="Q12" i="12"/>
  <c r="BF14" i="12" l="1"/>
  <c r="BJ14" i="12" s="1"/>
  <c r="BI14" i="12"/>
  <c r="BQ14" i="12" s="1"/>
  <c r="BP14" i="12" l="1"/>
  <c r="BR14" i="12" l="1"/>
  <c r="BT14" i="12" s="1"/>
  <c r="AX15" i="12"/>
  <c r="AW15" i="12"/>
  <c r="AY15" i="12"/>
  <c r="BD15" i="12" l="1"/>
  <c r="BH15" i="12" s="1"/>
  <c r="BV14" i="12"/>
  <c r="R14" i="12"/>
  <c r="S14" i="12" s="1"/>
  <c r="BU14" i="12"/>
  <c r="AD14" i="12"/>
  <c r="BE15" i="12" l="1"/>
  <c r="W14" i="12"/>
  <c r="T14" i="12"/>
  <c r="P13" i="12"/>
  <c r="X14" i="12"/>
  <c r="BF15" i="12" l="1"/>
  <c r="BJ15" i="12" s="1"/>
  <c r="BI15" i="12"/>
  <c r="V14" i="12"/>
  <c r="Q13" i="12"/>
  <c r="BQ15" i="12" l="1"/>
  <c r="BP15" i="12"/>
  <c r="BR15" i="12" l="1"/>
  <c r="BT15" i="12" s="1"/>
  <c r="AW16" i="12" l="1"/>
  <c r="AX16" i="12"/>
  <c r="AY16" i="12"/>
  <c r="R15" i="12"/>
  <c r="BV15" i="12"/>
  <c r="BU15" i="12"/>
  <c r="AD15" i="12"/>
  <c r="X15" i="12" l="1"/>
  <c r="S15" i="12"/>
  <c r="BD16" i="12"/>
  <c r="BH16" i="12" s="1"/>
  <c r="W15" i="12"/>
  <c r="T15" i="12"/>
  <c r="P14" i="12"/>
  <c r="BE16" i="12" l="1"/>
  <c r="V15" i="12"/>
  <c r="Q14" i="12"/>
  <c r="BF16" i="12" l="1"/>
  <c r="BJ16" i="12" s="1"/>
  <c r="BI16" i="12"/>
  <c r="BQ16" i="12" l="1"/>
  <c r="BP16" i="12"/>
  <c r="BR16" i="12" l="1"/>
  <c r="BT16" i="12" s="1"/>
  <c r="AW17" i="12"/>
  <c r="AX17" i="12"/>
  <c r="AY17" i="12"/>
  <c r="BD17" i="12" l="1"/>
  <c r="BH17" i="12" s="1"/>
  <c r="R16" i="12"/>
  <c r="BV16" i="12"/>
  <c r="BU16" i="12"/>
  <c r="AD16" i="12"/>
  <c r="X16" i="12" l="1"/>
  <c r="S16" i="12"/>
  <c r="BE17" i="12"/>
  <c r="W16" i="12"/>
  <c r="T16" i="12"/>
  <c r="P15" i="12"/>
  <c r="BF17" i="12" l="1"/>
  <c r="BJ17" i="12" s="1"/>
  <c r="BI17" i="12"/>
  <c r="V16" i="12"/>
  <c r="Q15" i="12"/>
  <c r="BQ17" i="12" l="1"/>
  <c r="BP17" i="12" l="1"/>
  <c r="AD17" i="12" l="1"/>
  <c r="BR17" i="12"/>
  <c r="BT17" i="12" s="1"/>
  <c r="AW18" i="12"/>
  <c r="AX18" i="12"/>
  <c r="AY18" i="12"/>
  <c r="BD18" i="12" l="1"/>
  <c r="BH18" i="12" s="1"/>
  <c r="R17" i="12"/>
  <c r="S17" i="12" s="1"/>
  <c r="BV17" i="12"/>
  <c r="BU17" i="12"/>
  <c r="BE18" i="12" l="1"/>
  <c r="W17" i="12"/>
  <c r="T17" i="12"/>
  <c r="P16" i="12"/>
  <c r="X17" i="12"/>
  <c r="BF18" i="12" l="1"/>
  <c r="BJ18" i="12" s="1"/>
  <c r="BI18" i="12"/>
  <c r="V17" i="12"/>
  <c r="Q16" i="12"/>
  <c r="BQ18" i="12" l="1"/>
  <c r="BP18" i="12" l="1"/>
  <c r="BR18" i="12" l="1"/>
  <c r="BT18" i="12" s="1"/>
  <c r="AY19" i="12"/>
  <c r="AX19" i="12"/>
  <c r="AW19" i="12"/>
  <c r="AD18" i="12"/>
  <c r="BD19" i="12" l="1"/>
  <c r="BH19" i="12" s="1"/>
  <c r="BV18" i="12"/>
  <c r="R18" i="12"/>
  <c r="S18" i="12" s="1"/>
  <c r="BU18" i="12"/>
  <c r="BE19" i="12" l="1"/>
  <c r="W18" i="12"/>
  <c r="T18" i="12"/>
  <c r="P17" i="12"/>
  <c r="X18" i="12"/>
  <c r="BF19" i="12" l="1"/>
  <c r="BJ19" i="12" s="1"/>
  <c r="BI19" i="12"/>
  <c r="V18" i="12"/>
  <c r="Q17" i="12"/>
  <c r="BQ19" i="12" l="1"/>
  <c r="BP19" i="12" l="1"/>
  <c r="AD19" i="12" l="1"/>
  <c r="BR19" i="12"/>
  <c r="BT19" i="12" s="1"/>
  <c r="AY20" i="12"/>
  <c r="AX20" i="12"/>
  <c r="AW20" i="12"/>
  <c r="BD20" i="12" l="1"/>
  <c r="BH20" i="12" s="1"/>
  <c r="BV19" i="12"/>
  <c r="R19" i="12"/>
  <c r="S19" i="12" s="1"/>
  <c r="BU19" i="12"/>
  <c r="BE20" i="12" l="1"/>
  <c r="W19" i="12"/>
  <c r="T19" i="12"/>
  <c r="P18" i="12"/>
  <c r="X19" i="12"/>
  <c r="BF20" i="12" l="1"/>
  <c r="BJ20" i="12" s="1"/>
  <c r="BI20" i="12"/>
  <c r="V19" i="12"/>
  <c r="Q18" i="12"/>
  <c r="BQ20" i="12" l="1"/>
  <c r="BP20" i="12" l="1"/>
  <c r="BR20" i="12" l="1"/>
  <c r="BT20" i="12" s="1"/>
  <c r="AX21" i="12"/>
  <c r="AY21" i="12"/>
  <c r="AW21" i="12"/>
  <c r="BD21" i="12" l="1"/>
  <c r="BH21" i="12" s="1"/>
  <c r="AD20" i="12"/>
  <c r="R20" i="12"/>
  <c r="S20" i="12" s="1"/>
  <c r="BV20" i="12"/>
  <c r="BU20" i="12"/>
  <c r="BE21" i="12" l="1"/>
  <c r="W20" i="12"/>
  <c r="T20" i="12"/>
  <c r="P19" i="12"/>
  <c r="X20" i="12"/>
  <c r="BF21" i="12" l="1"/>
  <c r="BJ21" i="12" s="1"/>
  <c r="BI21" i="12"/>
  <c r="V20" i="12"/>
  <c r="Q19" i="12"/>
  <c r="BQ21" i="12" l="1"/>
  <c r="BP21" i="12"/>
  <c r="BR21" i="12" l="1"/>
  <c r="BT21" i="12" s="1"/>
  <c r="AY22" i="12"/>
  <c r="AX22" i="12"/>
  <c r="AW22" i="12"/>
  <c r="BD22" i="12" l="1"/>
  <c r="BH22" i="12" s="1"/>
  <c r="AD21" i="12"/>
  <c r="BV21" i="12"/>
  <c r="R21" i="12"/>
  <c r="S21" i="12" s="1"/>
  <c r="BU21" i="12"/>
  <c r="BE22" i="12" l="1"/>
  <c r="W21" i="12"/>
  <c r="T21" i="12"/>
  <c r="P20" i="12"/>
  <c r="X21" i="12"/>
  <c r="BF22" i="12" l="1"/>
  <c r="BJ22" i="12" s="1"/>
  <c r="BI22" i="12"/>
  <c r="BP22" i="12"/>
  <c r="V21" i="12"/>
  <c r="Q20" i="12"/>
  <c r="BQ22" i="12" l="1"/>
  <c r="AY23" i="12" l="1"/>
  <c r="AD22" i="12"/>
  <c r="AW23" i="12" l="1"/>
  <c r="AX23" i="12"/>
  <c r="BR22" i="12"/>
  <c r="BT22" i="12" s="1"/>
  <c r="BD23" i="12" l="1"/>
  <c r="BH23" i="12" s="1"/>
  <c r="BU22" i="12"/>
  <c r="BV22" i="12"/>
  <c r="R22" i="12"/>
  <c r="S22" i="12" s="1"/>
  <c r="BE23" i="12" l="1"/>
  <c r="X22" i="12"/>
  <c r="T22" i="12"/>
  <c r="W22" i="12"/>
  <c r="P21" i="12"/>
  <c r="BF23" i="12" l="1"/>
  <c r="BJ23" i="12" s="1"/>
  <c r="BI23" i="12"/>
  <c r="V22" i="12"/>
  <c r="Q21" i="12"/>
  <c r="BP23" i="12" l="1"/>
  <c r="BQ23" i="12"/>
  <c r="AD23" i="12"/>
  <c r="R23" i="12"/>
  <c r="S23" i="12" s="1"/>
  <c r="W23" i="12" l="1"/>
  <c r="T23" i="12"/>
  <c r="P22" i="12"/>
  <c r="X23" i="12"/>
  <c r="AY24" i="12" l="1"/>
  <c r="BR23" i="12"/>
  <c r="BT23" i="12" s="1"/>
  <c r="AW24" i="12"/>
  <c r="AX24" i="12"/>
  <c r="V23" i="12"/>
  <c r="Q22" i="12"/>
  <c r="BD24" i="12" l="1"/>
  <c r="BH24" i="12" s="1"/>
  <c r="BU23" i="12"/>
  <c r="BV23" i="12"/>
  <c r="BE24" i="12" l="1"/>
  <c r="BF24" i="12" l="1"/>
  <c r="BJ24" i="12" s="1"/>
  <c r="BI24" i="12"/>
  <c r="R24" i="12"/>
  <c r="AD24" i="12"/>
  <c r="X24" i="12" l="1"/>
  <c r="S24" i="12"/>
  <c r="BQ24" i="12"/>
  <c r="W24" i="12"/>
  <c r="T24" i="12"/>
  <c r="P23" i="12"/>
  <c r="BR24" i="12" l="1"/>
  <c r="BP24" i="12"/>
  <c r="AX25" i="12"/>
  <c r="AW25" i="12"/>
  <c r="AY25" i="12"/>
  <c r="V24" i="12"/>
  <c r="Q23" i="12"/>
  <c r="BD25" i="12" l="1"/>
  <c r="BH25" i="12" s="1"/>
  <c r="BT24" i="12"/>
  <c r="BE25" i="12" l="1"/>
  <c r="BU24" i="12"/>
  <c r="BV24" i="12"/>
  <c r="BF25" i="12" l="1"/>
  <c r="BJ25" i="12" s="1"/>
  <c r="BI25" i="12"/>
  <c r="AD25" i="12"/>
  <c r="R25" i="12"/>
  <c r="X25" i="12" l="1"/>
  <c r="S25" i="12"/>
  <c r="BQ25" i="12"/>
  <c r="BP25" i="12"/>
  <c r="W25" i="12"/>
  <c r="T25" i="12"/>
  <c r="P24" i="12"/>
  <c r="V25" i="12" l="1"/>
  <c r="Q24" i="12"/>
  <c r="BR25" i="12" l="1"/>
  <c r="BT25" i="12" s="1"/>
  <c r="BU25" i="12" s="1"/>
  <c r="AY26" i="12"/>
  <c r="AW26" i="12"/>
  <c r="AX26" i="12"/>
  <c r="BV25" i="12" l="1"/>
  <c r="BD26" i="12"/>
  <c r="BH26" i="12" s="1"/>
  <c r="BE26" i="12" l="1"/>
  <c r="AD26" i="12"/>
  <c r="R26" i="12"/>
  <c r="S26" i="12" s="1"/>
  <c r="BF26" i="12" l="1"/>
  <c r="BJ26" i="12" s="1"/>
  <c r="BI26" i="12"/>
  <c r="BP26" i="12" s="1"/>
  <c r="W26" i="12"/>
  <c r="T26" i="12"/>
  <c r="P25" i="12"/>
  <c r="X26" i="12"/>
  <c r="BR26" i="12" l="1"/>
  <c r="V26" i="12"/>
  <c r="Q25" i="12"/>
  <c r="BQ26" i="12" l="1"/>
  <c r="BT26" i="12" s="1"/>
  <c r="AW27" i="12"/>
  <c r="AX27" i="12"/>
  <c r="AY27" i="12"/>
  <c r="BD27" i="12" l="1"/>
  <c r="BH27" i="12" s="1"/>
  <c r="BU26" i="12"/>
  <c r="BV26" i="12"/>
  <c r="AD27" i="12"/>
  <c r="BE27" i="12" l="1"/>
  <c r="R27" i="12"/>
  <c r="S27" i="12" s="1"/>
  <c r="BF27" i="12" l="1"/>
  <c r="BJ27" i="12" s="1"/>
  <c r="BI27" i="12"/>
  <c r="BP27" i="12"/>
  <c r="W27" i="12"/>
  <c r="T27" i="12"/>
  <c r="P26" i="12"/>
  <c r="X27" i="12"/>
  <c r="BQ27" i="12" l="1"/>
  <c r="AY28" i="12"/>
  <c r="V27" i="12"/>
  <c r="Q26" i="12"/>
  <c r="AW28" i="12" l="1"/>
  <c r="BR27" i="12"/>
  <c r="BT27" i="12" s="1"/>
  <c r="AX28" i="12"/>
  <c r="BD28" i="12" l="1"/>
  <c r="BH28" i="12" s="1"/>
  <c r="BV27" i="12"/>
  <c r="BU27" i="12"/>
  <c r="BE28" i="12" l="1"/>
  <c r="AD28" i="12"/>
  <c r="R28" i="12"/>
  <c r="S28" i="12" s="1"/>
  <c r="BF28" i="12" l="1"/>
  <c r="BJ28" i="12" s="1"/>
  <c r="BI28" i="12"/>
  <c r="BQ28" i="12"/>
  <c r="W28" i="12"/>
  <c r="T28" i="12"/>
  <c r="P27" i="12"/>
  <c r="X28" i="12"/>
  <c r="BR28" i="12" l="1"/>
  <c r="BP28" i="12"/>
  <c r="AW29" i="12"/>
  <c r="AY29" i="12"/>
  <c r="AX29" i="12"/>
  <c r="V28" i="12"/>
  <c r="Q27" i="12"/>
  <c r="BD29" i="12" l="1"/>
  <c r="BH29" i="12" s="1"/>
  <c r="BT28" i="12"/>
  <c r="BU28" i="12" s="1"/>
  <c r="BE29" i="12" l="1"/>
  <c r="BV28" i="12"/>
  <c r="BF29" i="12" l="1"/>
  <c r="BJ29" i="12" s="1"/>
  <c r="BI29" i="12"/>
  <c r="AD29" i="12"/>
  <c r="BQ29" i="12" l="1"/>
  <c r="R29" i="12"/>
  <c r="S29" i="12" s="1"/>
  <c r="BR29" i="12" l="1"/>
  <c r="BP29" i="12"/>
  <c r="AX30" i="12"/>
  <c r="AW30" i="12"/>
  <c r="AY30" i="12"/>
  <c r="W29" i="12"/>
  <c r="T29" i="12"/>
  <c r="P28" i="12"/>
  <c r="X29" i="12"/>
  <c r="BT29" i="12" l="1"/>
  <c r="BU29" i="12" s="1"/>
  <c r="BD30" i="12"/>
  <c r="BH30" i="12" s="1"/>
  <c r="V29" i="12"/>
  <c r="Q28" i="12"/>
  <c r="BV29" i="12" l="1"/>
  <c r="BE30" i="12"/>
  <c r="BF30" i="12" l="1"/>
  <c r="BJ30" i="12" s="1"/>
  <c r="BI30" i="12"/>
  <c r="BQ30" i="12"/>
  <c r="BP30" i="12"/>
  <c r="BR30" i="12" l="1"/>
  <c r="BT30" i="12" s="1"/>
  <c r="AY31" i="12"/>
  <c r="AX31" i="12"/>
  <c r="AW31" i="12"/>
  <c r="BD31" i="12" l="1"/>
  <c r="BH31" i="12" s="1"/>
  <c r="AD30" i="12"/>
  <c r="BV30" i="12"/>
  <c r="R30" i="12"/>
  <c r="S30" i="12" s="1"/>
  <c r="BU30" i="12"/>
  <c r="BE31" i="12" l="1"/>
  <c r="W30" i="12"/>
  <c r="T30" i="12"/>
  <c r="P29" i="12"/>
  <c r="X30" i="12"/>
  <c r="BF31" i="12" l="1"/>
  <c r="BJ31" i="12" s="1"/>
  <c r="BI31" i="12"/>
  <c r="BQ31" i="12"/>
  <c r="V30" i="12"/>
  <c r="Q29" i="12"/>
  <c r="BP31" i="12" l="1"/>
  <c r="AD31" i="12" l="1"/>
  <c r="BR31" i="12"/>
  <c r="BT31" i="12" s="1"/>
  <c r="AY32" i="12"/>
  <c r="AX32" i="12"/>
  <c r="AW32" i="12"/>
  <c r="BD32" i="12" l="1"/>
  <c r="BH32" i="12" s="1"/>
  <c r="BV31" i="12"/>
  <c r="R31" i="12"/>
  <c r="S31" i="12" s="1"/>
  <c r="BU31" i="12"/>
  <c r="BE32" i="12" l="1"/>
  <c r="W31" i="12"/>
  <c r="T31" i="12"/>
  <c r="P30" i="12"/>
  <c r="X31" i="12"/>
  <c r="BF32" i="12" l="1"/>
  <c r="BI32" i="12"/>
  <c r="V31" i="12"/>
  <c r="Q30" i="12"/>
  <c r="BJ32" i="12" l="1"/>
  <c r="AX33" i="12"/>
  <c r="AY33" i="12"/>
  <c r="AW33" i="12"/>
  <c r="BQ32" i="12"/>
  <c r="BP32" i="12"/>
  <c r="BD33" i="12" l="1"/>
  <c r="AD32" i="12"/>
  <c r="BR32" i="12"/>
  <c r="BT32" i="12" s="1"/>
  <c r="BE33" i="12" l="1"/>
  <c r="BF33" i="12" s="1"/>
  <c r="BP33" i="12"/>
  <c r="R33" i="12"/>
  <c r="BH33" i="12"/>
  <c r="BV32" i="12"/>
  <c r="R32" i="12"/>
  <c r="S32" i="12" s="1"/>
  <c r="BU32" i="12"/>
  <c r="BR33" i="12" l="1"/>
  <c r="BJ33" i="12"/>
  <c r="P33" i="12"/>
  <c r="W33" i="12"/>
  <c r="S33" i="12"/>
  <c r="X33" i="12"/>
  <c r="T33" i="12"/>
  <c r="BQ33" i="12"/>
  <c r="BT33" i="12" s="1"/>
  <c r="BI33" i="12"/>
  <c r="W32" i="12"/>
  <c r="T32" i="12"/>
  <c r="P31" i="12"/>
  <c r="X32" i="12"/>
  <c r="BV33" i="12" l="1"/>
  <c r="BU33" i="12"/>
  <c r="Q33" i="12"/>
  <c r="V33" i="12"/>
  <c r="V32" i="12"/>
  <c r="Q31" i="12"/>
  <c r="P32" i="12" l="1"/>
  <c r="Q32" i="12" l="1"/>
</calcChain>
</file>

<file path=xl/sharedStrings.xml><?xml version="1.0" encoding="utf-8"?>
<sst xmlns="http://schemas.openxmlformats.org/spreadsheetml/2006/main" count="106" uniqueCount="81">
  <si>
    <t>Disease spread parameters</t>
  </si>
  <si>
    <t>Population</t>
  </si>
  <si>
    <t>% mild</t>
  </si>
  <si>
    <t>False negative rate</t>
  </si>
  <si>
    <t>False positive rate</t>
  </si>
  <si>
    <t>Population parameters</t>
  </si>
  <si>
    <t>Susceptible</t>
  </si>
  <si>
    <t>Asymptomatic</t>
  </si>
  <si>
    <t>Tests available</t>
  </si>
  <si>
    <t>Share of tests that are positive</t>
  </si>
  <si>
    <t>Date</t>
  </si>
  <si>
    <t>Severe</t>
  </si>
  <si>
    <t>Mild</t>
  </si>
  <si>
    <t>New tests</t>
  </si>
  <si>
    <t>Actual new cases</t>
  </si>
  <si>
    <t># desiring test by symptoms</t>
  </si>
  <si>
    <t>Total tests conducted</t>
  </si>
  <si>
    <t>Share of patients who are actually positive</t>
  </si>
  <si>
    <t>Number of positive tests</t>
  </si>
  <si>
    <t>Share positive</t>
  </si>
  <si>
    <t>Reported new positives (w/o lag)</t>
  </si>
  <si>
    <t>Target Ro</t>
  </si>
  <si>
    <t>Doubling time in days</t>
  </si>
  <si>
    <t>New infections</t>
  </si>
  <si>
    <t>Cumulative infections</t>
  </si>
  <si>
    <t>New detected cases</t>
  </si>
  <si>
    <t>Cumulative detected cases</t>
  </si>
  <si>
    <t>% asymptomatic</t>
  </si>
  <si>
    <t>% of population with severe symptoms for other reasons</t>
  </si>
  <si>
    <t>% of population with mild symptoms for other reasons</t>
  </si>
  <si>
    <t>Population by symptoms</t>
  </si>
  <si>
    <t># of new tests reported</t>
  </si>
  <si>
    <t>Generation</t>
  </si>
  <si>
    <t>% with severe symptoms who want a test per generation</t>
  </si>
  <si>
    <t>% with mild symptoms who want a test per generation</t>
  </si>
  <si>
    <t>% with no symptoms who want a test per generation</t>
  </si>
  <si>
    <t>Reporting and testing delay, in generations</t>
  </si>
  <si>
    <t>Generation length (serial interval), in days</t>
  </si>
  <si>
    <t>Intermediate measures start in generation:</t>
  </si>
  <si>
    <t>Lockdown starts in generation:</t>
  </si>
  <si>
    <t>Actual R</t>
  </si>
  <si>
    <t>Observed R</t>
  </si>
  <si>
    <t>Uncontrolled R</t>
  </si>
  <si>
    <t>Intermediate R</t>
  </si>
  <si>
    <t>Nominal R</t>
  </si>
  <si>
    <t>date</t>
  </si>
  <si>
    <t>new cases</t>
  </si>
  <si>
    <t>new tests</t>
  </si>
  <si>
    <t>tests in last 5 days</t>
  </si>
  <si>
    <t>total cases in last 5 days</t>
  </si>
  <si>
    <t>New infections detected</t>
  </si>
  <si>
    <t>Detected (model)</t>
  </si>
  <si>
    <t>Detected (actual)</t>
  </si>
  <si>
    <t>What really happened in the UK?</t>
  </si>
  <si>
    <t xml:space="preserve">based on Nate Silvers model from https://fivethirtyeight.com/features/coronavirus-case-counts-are-meaningless/ </t>
  </si>
  <si>
    <t>Testing parameters</t>
  </si>
  <si>
    <t>Detection rate (overall)</t>
  </si>
  <si>
    <t>Detection rate (new cases)</t>
  </si>
  <si>
    <t>lockdown R</t>
  </si>
  <si>
    <t>Unfilled test demand</t>
  </si>
  <si>
    <t>Model start date</t>
  </si>
  <si>
    <t>% fatal</t>
  </si>
  <si>
    <t>New Deaths</t>
  </si>
  <si>
    <t>Cumulative Deaths</t>
  </si>
  <si>
    <t>Total infected and deaths (model)</t>
  </si>
  <si>
    <t>new deaths</t>
  </si>
  <si>
    <t>total deaths in last 5 days</t>
  </si>
  <si>
    <t># of new deaths reported</t>
  </si>
  <si>
    <t>fatality delay (generations)</t>
  </si>
  <si>
    <t>Infections at model start</t>
  </si>
  <si>
    <t>raw data in highlighted cells</t>
  </si>
  <si>
    <t>UK COVID-19 data sourced from ourworldindata.org</t>
  </si>
  <si>
    <t>The main parameters to tweak to play with the model are in green</t>
  </si>
  <si>
    <t>Tune to try and match predictions and observed values</t>
  </si>
  <si>
    <t>New infections represente people who are infected and have become sick</t>
  </si>
  <si>
    <t>i.e. they might seek a test</t>
  </si>
  <si>
    <t>New infections per day</t>
  </si>
  <si>
    <t>New detected cases per day</t>
  </si>
  <si>
    <t>New tests per day</t>
  </si>
  <si>
    <t>New Deaths per day</t>
  </si>
  <si>
    <t>New deaths per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</si>
</sst>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%"/>
    <numFmt numFmtId="165" formatCode="0.0000%"/>
    <numFmt numFmtId="166" formatCode="0.0"/>
    <numFmt numFmtId="167" formatCode="mmm\.\ d"/>
  </numFmts>
  <fonts count="12" x14ac:knownFonts="1">
    <font>
      <sz val="12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3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1"/>
      <color rgb="FF3F3F76"/>
      <name val="Calibri"/>
      <family val="2"/>
      <scheme val="minor"/>
    </font>
    <font>
      <sz val="8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color rgb="FF3F3F76"/>
      <name val="Arial"/>
      <family val="2"/>
    </font>
    <font>
      <i/>
      <sz val="10"/>
      <color rgb="FF7F7F7F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CC99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medium">
        <color auto="1"/>
      </right>
      <top/>
      <bottom/>
      <diagonal/>
    </border>
  </borders>
  <cellStyleXfs count="3">
    <xf numFmtId="0" fontId="0" fillId="0" borderId="0"/>
    <xf numFmtId="0" fontId="7" fillId="3" borderId="2" applyNumberFormat="0" applyAlignment="0" applyProtection="0"/>
    <xf numFmtId="0" fontId="9" fillId="0" borderId="0" applyNumberFormat="0" applyFill="0" applyBorder="0" applyAlignment="0" applyProtection="0"/>
  </cellStyleXfs>
  <cellXfs count="75">
    <xf numFmtId="0" fontId="0" fillId="0" borderId="0" xfId="0"/>
    <xf numFmtId="0" fontId="1" fillId="0" borderId="0" xfId="0" applyFont="1" applyProtection="1">
      <protection locked="0"/>
    </xf>
    <xf numFmtId="3" fontId="1" fillId="0" borderId="0" xfId="0" applyNumberFormat="1" applyFont="1" applyAlignment="1" applyProtection="1">
      <alignment horizontal="center"/>
      <protection locked="0"/>
    </xf>
    <xf numFmtId="0" fontId="1" fillId="0" borderId="0" xfId="0" applyFont="1" applyAlignment="1" applyProtection="1">
      <alignment horizontal="left"/>
      <protection locked="0"/>
    </xf>
    <xf numFmtId="0" fontId="1" fillId="0" borderId="0" xfId="0" applyFont="1" applyAlignment="1" applyProtection="1">
      <alignment horizontal="center"/>
      <protection locked="0"/>
    </xf>
    <xf numFmtId="0" fontId="2" fillId="0" borderId="0" xfId="0" applyFont="1" applyAlignment="1">
      <alignment horizontal="center"/>
    </xf>
    <xf numFmtId="0" fontId="4" fillId="0" borderId="0" xfId="0" applyFont="1" applyProtection="1">
      <protection locked="0"/>
    </xf>
    <xf numFmtId="0" fontId="5" fillId="0" borderId="0" xfId="0" applyFont="1" applyAlignment="1" applyProtection="1">
      <alignment horizontal="right"/>
      <protection locked="0"/>
    </xf>
    <xf numFmtId="0" fontId="6" fillId="0" borderId="0" xfId="0" applyFont="1" applyAlignment="1" applyProtection="1">
      <alignment horizontal="left"/>
      <protection locked="0"/>
    </xf>
    <xf numFmtId="0" fontId="6" fillId="0" borderId="0" xfId="0" applyFont="1" applyProtection="1">
      <protection locked="0"/>
    </xf>
    <xf numFmtId="0" fontId="5" fillId="2" borderId="0" xfId="0" applyFont="1" applyFill="1" applyAlignment="1" applyProtection="1">
      <alignment horizontal="center" wrapText="1"/>
      <protection locked="0"/>
    </xf>
    <xf numFmtId="0" fontId="6" fillId="0" borderId="0" xfId="0" applyFont="1" applyAlignment="1" applyProtection="1">
      <alignment wrapText="1"/>
      <protection locked="0"/>
    </xf>
    <xf numFmtId="0" fontId="5" fillId="0" borderId="0" xfId="0" applyFont="1" applyAlignment="1" applyProtection="1">
      <alignment horizontal="center" wrapText="1"/>
      <protection locked="0"/>
    </xf>
    <xf numFmtId="3" fontId="6" fillId="0" borderId="0" xfId="0" applyNumberFormat="1" applyFont="1" applyAlignment="1" applyProtection="1">
      <alignment wrapText="1"/>
      <protection locked="0"/>
    </xf>
    <xf numFmtId="0" fontId="6" fillId="0" borderId="0" xfId="0" applyFont="1" applyAlignment="1" applyProtection="1">
      <alignment horizontal="center" wrapText="1"/>
      <protection locked="0"/>
    </xf>
    <xf numFmtId="0" fontId="6" fillId="0" borderId="0" xfId="0" applyFont="1" applyAlignment="1" applyProtection="1">
      <alignment horizontal="right"/>
      <protection locked="0"/>
    </xf>
    <xf numFmtId="3" fontId="6" fillId="0" borderId="0" xfId="0" applyNumberFormat="1" applyFont="1" applyAlignment="1" applyProtection="1">
      <alignment horizontal="center"/>
      <protection locked="0"/>
    </xf>
    <xf numFmtId="164" fontId="6" fillId="0" borderId="0" xfId="0" applyNumberFormat="1" applyFont="1" applyAlignment="1" applyProtection="1">
      <alignment horizontal="center"/>
      <protection locked="0"/>
    </xf>
    <xf numFmtId="165" fontId="6" fillId="0" borderId="0" xfId="0" applyNumberFormat="1" applyFont="1" applyAlignment="1" applyProtection="1">
      <alignment horizontal="center"/>
      <protection locked="0"/>
    </xf>
    <xf numFmtId="0" fontId="6" fillId="0" borderId="0" xfId="0" applyFont="1" applyAlignment="1" applyProtection="1">
      <alignment horizontal="center"/>
      <protection locked="0"/>
    </xf>
    <xf numFmtId="166" fontId="6" fillId="0" borderId="0" xfId="0" applyNumberFormat="1" applyFont="1" applyAlignment="1" applyProtection="1">
      <alignment horizontal="center"/>
      <protection locked="0"/>
    </xf>
    <xf numFmtId="9" fontId="6" fillId="0" borderId="0" xfId="0" applyNumberFormat="1" applyFont="1" applyAlignment="1" applyProtection="1">
      <alignment horizontal="left"/>
      <protection locked="0"/>
    </xf>
    <xf numFmtId="14" fontId="6" fillId="0" borderId="0" xfId="0" applyNumberFormat="1" applyFont="1" applyAlignment="1" applyProtection="1">
      <alignment horizontal="left"/>
      <protection locked="0"/>
    </xf>
    <xf numFmtId="3" fontId="6" fillId="0" borderId="0" xfId="0" applyNumberFormat="1" applyFont="1" applyAlignment="1" applyProtection="1">
      <alignment horizontal="left"/>
      <protection locked="0"/>
    </xf>
    <xf numFmtId="0" fontId="1" fillId="0" borderId="0" xfId="0" applyFont="1" applyFill="1" applyAlignment="1" applyProtection="1">
      <alignment horizontal="center"/>
      <protection locked="0"/>
    </xf>
    <xf numFmtId="0" fontId="2" fillId="0" borderId="0" xfId="0" applyFont="1" applyFill="1" applyAlignment="1">
      <alignment horizontal="center"/>
    </xf>
    <xf numFmtId="0" fontId="5" fillId="0" borderId="0" xfId="0" applyFont="1" applyFill="1" applyAlignment="1" applyProtection="1">
      <alignment horizontal="center" wrapText="1"/>
      <protection locked="0"/>
    </xf>
    <xf numFmtId="166" fontId="5" fillId="0" borderId="0" xfId="0" applyNumberFormat="1" applyFont="1" applyFill="1" applyAlignment="1" applyProtection="1">
      <alignment horizontal="center"/>
      <protection locked="0"/>
    </xf>
    <xf numFmtId="0" fontId="1" fillId="0" borderId="0" xfId="0" applyFont="1" applyFill="1" applyProtection="1">
      <protection locked="0"/>
    </xf>
    <xf numFmtId="0" fontId="1" fillId="0" borderId="1" xfId="0" applyFont="1" applyBorder="1" applyAlignment="1" applyProtection="1">
      <alignment horizontal="center"/>
      <protection locked="0"/>
    </xf>
    <xf numFmtId="0" fontId="2" fillId="0" borderId="1" xfId="0" applyFont="1" applyBorder="1" applyAlignment="1">
      <alignment horizontal="center"/>
    </xf>
    <xf numFmtId="0" fontId="6" fillId="0" borderId="1" xfId="0" applyFont="1" applyBorder="1" applyAlignment="1" applyProtection="1">
      <alignment wrapText="1"/>
      <protection locked="0"/>
    </xf>
    <xf numFmtId="3" fontId="6" fillId="0" borderId="1" xfId="0" applyNumberFormat="1" applyFont="1" applyBorder="1" applyAlignment="1" applyProtection="1">
      <alignment horizontal="center"/>
      <protection locked="0"/>
    </xf>
    <xf numFmtId="0" fontId="1" fillId="0" borderId="1" xfId="0" applyFont="1" applyBorder="1" applyProtection="1">
      <protection locked="0"/>
    </xf>
    <xf numFmtId="0" fontId="5" fillId="2" borderId="1" xfId="0" applyFont="1" applyFill="1" applyBorder="1" applyAlignment="1" applyProtection="1">
      <alignment horizontal="center" wrapText="1"/>
      <protection locked="0"/>
    </xf>
    <xf numFmtId="0" fontId="6" fillId="2" borderId="1" xfId="0" applyFont="1" applyFill="1" applyBorder="1" applyAlignment="1" applyProtection="1">
      <alignment horizontal="center"/>
      <protection locked="0"/>
    </xf>
    <xf numFmtId="0" fontId="1" fillId="0" borderId="0" xfId="0" quotePrefix="1" applyFont="1" applyProtection="1">
      <protection locked="0"/>
    </xf>
    <xf numFmtId="1" fontId="5" fillId="0" borderId="0" xfId="0" applyNumberFormat="1" applyFont="1" applyFill="1" applyAlignment="1" applyProtection="1">
      <alignment horizontal="center"/>
      <protection locked="0"/>
    </xf>
    <xf numFmtId="167" fontId="6" fillId="2" borderId="0" xfId="0" applyNumberFormat="1" applyFont="1" applyFill="1" applyAlignment="1" applyProtection="1">
      <alignment horizontal="center"/>
      <protection locked="0"/>
    </xf>
    <xf numFmtId="0" fontId="1" fillId="0" borderId="0" xfId="0" applyFont="1" applyAlignment="1" applyProtection="1">
      <alignment horizontal="center"/>
      <protection locked="0"/>
    </xf>
    <xf numFmtId="0" fontId="2" fillId="0" borderId="0" xfId="0" applyFont="1" applyAlignment="1">
      <alignment horizontal="center"/>
    </xf>
    <xf numFmtId="0" fontId="1" fillId="0" borderId="0" xfId="0" applyFont="1" applyAlignment="1" applyProtection="1">
      <alignment horizontal="center"/>
      <protection locked="0"/>
    </xf>
    <xf numFmtId="3" fontId="6" fillId="0" borderId="0" xfId="0" quotePrefix="1" applyNumberFormat="1" applyFont="1" applyAlignment="1" applyProtection="1">
      <alignment horizontal="center"/>
      <protection locked="0"/>
    </xf>
    <xf numFmtId="166" fontId="5" fillId="0" borderId="0" xfId="0" applyNumberFormat="1" applyFont="1" applyAlignment="1">
      <alignment horizontal="center"/>
    </xf>
    <xf numFmtId="0" fontId="5" fillId="6" borderId="0" xfId="0" applyFont="1" applyFill="1" applyAlignment="1" applyProtection="1">
      <alignment horizontal="center" wrapText="1"/>
      <protection locked="0"/>
    </xf>
    <xf numFmtId="0" fontId="9" fillId="0" borderId="0" xfId="2" applyProtection="1">
      <protection locked="0"/>
    </xf>
    <xf numFmtId="164" fontId="6" fillId="0" borderId="0" xfId="0" applyNumberFormat="1" applyFont="1" applyFill="1" applyAlignment="1" applyProtection="1">
      <alignment horizontal="center"/>
      <protection locked="0"/>
    </xf>
    <xf numFmtId="0" fontId="5" fillId="4" borderId="0" xfId="0" applyFont="1" applyFill="1" applyAlignment="1" applyProtection="1">
      <alignment horizontal="center" wrapText="1"/>
      <protection locked="0"/>
    </xf>
    <xf numFmtId="9" fontId="6" fillId="4" borderId="0" xfId="0" applyNumberFormat="1" applyFont="1" applyFill="1" applyAlignment="1" applyProtection="1">
      <alignment horizontal="center"/>
      <protection locked="0"/>
    </xf>
    <xf numFmtId="164" fontId="6" fillId="5" borderId="0" xfId="0" applyNumberFormat="1" applyFont="1" applyFill="1" applyAlignment="1" applyProtection="1">
      <alignment horizontal="left"/>
      <protection locked="0"/>
    </xf>
    <xf numFmtId="0" fontId="6" fillId="5" borderId="0" xfId="0" applyFont="1" applyFill="1" applyAlignment="1" applyProtection="1">
      <alignment horizontal="left"/>
      <protection locked="0"/>
    </xf>
    <xf numFmtId="0" fontId="1" fillId="0" borderId="0" xfId="0" applyFont="1" applyAlignment="1" applyProtection="1">
      <alignment horizontal="center"/>
      <protection locked="0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164" fontId="1" fillId="0" borderId="0" xfId="0" applyNumberFormat="1" applyFont="1" applyProtection="1">
      <protection locked="0"/>
    </xf>
    <xf numFmtId="0" fontId="5" fillId="0" borderId="0" xfId="0" applyFont="1" applyAlignment="1" applyProtection="1">
      <alignment horizontal="left" indent="1"/>
      <protection locked="0"/>
    </xf>
    <xf numFmtId="2" fontId="5" fillId="0" borderId="0" xfId="0" applyNumberFormat="1" applyFont="1" applyFill="1" applyAlignment="1" applyProtection="1">
      <alignment horizontal="center"/>
      <protection locked="0"/>
    </xf>
    <xf numFmtId="3" fontId="6" fillId="0" borderId="0" xfId="0" applyNumberFormat="1" applyFont="1" applyFill="1" applyAlignment="1" applyProtection="1">
      <alignment horizontal="center"/>
      <protection locked="0"/>
    </xf>
    <xf numFmtId="0" fontId="6" fillId="0" borderId="0" xfId="0" applyFont="1" applyFill="1" applyAlignment="1" applyProtection="1">
      <alignment horizontal="left"/>
      <protection locked="0"/>
    </xf>
    <xf numFmtId="0" fontId="6" fillId="7" borderId="0" xfId="0" applyFont="1" applyFill="1" applyAlignment="1" applyProtection="1">
      <alignment horizontal="left"/>
      <protection locked="0"/>
    </xf>
    <xf numFmtId="10" fontId="6" fillId="7" borderId="0" xfId="0" applyNumberFormat="1" applyFont="1" applyFill="1" applyAlignment="1" applyProtection="1">
      <alignment horizontal="left"/>
      <protection locked="0"/>
    </xf>
    <xf numFmtId="164" fontId="6" fillId="7" borderId="0" xfId="0" applyNumberFormat="1" applyFont="1" applyFill="1" applyAlignment="1" applyProtection="1">
      <alignment horizontal="left"/>
      <protection locked="0"/>
    </xf>
    <xf numFmtId="14" fontId="6" fillId="0" borderId="0" xfId="0" applyNumberFormat="1" applyFont="1"/>
    <xf numFmtId="0" fontId="10" fillId="3" borderId="2" xfId="1" applyFont="1"/>
    <xf numFmtId="0" fontId="6" fillId="0" borderId="0" xfId="0" applyFont="1"/>
    <xf numFmtId="0" fontId="5" fillId="0" borderId="0" xfId="0" applyFont="1" applyAlignment="1">
      <alignment horizontal="center"/>
    </xf>
    <xf numFmtId="0" fontId="11" fillId="0" borderId="0" xfId="2" applyFont="1"/>
    <xf numFmtId="9" fontId="6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>
      <alignment horizontal="center"/>
    </xf>
    <xf numFmtId="0" fontId="3" fillId="0" borderId="0" xfId="0" applyFont="1" applyAlignment="1" applyProtection="1">
      <alignment horizontal="center"/>
      <protection locked="0"/>
    </xf>
    <xf numFmtId="0" fontId="1" fillId="0" borderId="0" xfId="0" applyFont="1" applyAlignment="1" applyProtection="1">
      <alignment horizontal="center"/>
      <protection locked="0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0" borderId="3" xfId="0" applyFont="1" applyBorder="1" applyAlignment="1">
      <alignment horizontal="center"/>
    </xf>
    <xf numFmtId="0" fontId="7" fillId="3" borderId="2" xfId="1"/>
  </cellXfs>
  <cellStyles count="3">
    <cellStyle name="Explanatory Text" xfId="2" builtinId="53"/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Predicted</c:v>
          </c:tx>
          <c:spPr>
            <a:solidFill>
              <a:schemeClr val="accent1"/>
            </a:solidFill>
            <a:ln w="63500">
              <a:solidFill>
                <a:schemeClr val="accent1"/>
              </a:solidFill>
            </a:ln>
            <a:effectLst/>
          </c:spPr>
          <c:invertIfNegative val="0"/>
          <c:cat>
            <c:numRef>
              <c:f>model!$E$7:$E$33</c:f>
              <c:numCache>
                <c:formatCode>mmm\.\ d</c:formatCode>
                <c:ptCount val="27"/>
                <c:pt idx="0">
                  <c:v>43868</c:v>
                </c:pt>
                <c:pt idx="1">
                  <c:v>43873</c:v>
                </c:pt>
                <c:pt idx="2">
                  <c:v>43878</c:v>
                </c:pt>
                <c:pt idx="3">
                  <c:v>43883</c:v>
                </c:pt>
                <c:pt idx="4">
                  <c:v>43888</c:v>
                </c:pt>
                <c:pt idx="5">
                  <c:v>43893</c:v>
                </c:pt>
                <c:pt idx="6">
                  <c:v>43898</c:v>
                </c:pt>
                <c:pt idx="7">
                  <c:v>43903</c:v>
                </c:pt>
                <c:pt idx="8">
                  <c:v>43908</c:v>
                </c:pt>
                <c:pt idx="9">
                  <c:v>43913</c:v>
                </c:pt>
                <c:pt idx="10">
                  <c:v>43918</c:v>
                </c:pt>
                <c:pt idx="11">
                  <c:v>43923</c:v>
                </c:pt>
                <c:pt idx="12">
                  <c:v>43928</c:v>
                </c:pt>
                <c:pt idx="13">
                  <c:v>43933</c:v>
                </c:pt>
                <c:pt idx="14">
                  <c:v>43938</c:v>
                </c:pt>
                <c:pt idx="15">
                  <c:v>43943</c:v>
                </c:pt>
                <c:pt idx="16">
                  <c:v>43948</c:v>
                </c:pt>
                <c:pt idx="17">
                  <c:v>43953</c:v>
                </c:pt>
                <c:pt idx="18">
                  <c:v>43958</c:v>
                </c:pt>
                <c:pt idx="19">
                  <c:v>43963</c:v>
                </c:pt>
                <c:pt idx="20">
                  <c:v>43968</c:v>
                </c:pt>
                <c:pt idx="21">
                  <c:v>43973</c:v>
                </c:pt>
                <c:pt idx="22">
                  <c:v>43978</c:v>
                </c:pt>
                <c:pt idx="23">
                  <c:v>43983</c:v>
                </c:pt>
                <c:pt idx="24">
                  <c:v>43988</c:v>
                </c:pt>
                <c:pt idx="25">
                  <c:v>43993</c:v>
                </c:pt>
                <c:pt idx="26">
                  <c:v>43998</c:v>
                </c:pt>
              </c:numCache>
            </c:numRef>
          </c:cat>
          <c:val>
            <c:numRef>
              <c:f>model!$X$7:$X$33</c:f>
              <c:numCache>
                <c:formatCode>0%</c:formatCode>
                <c:ptCount val="27"/>
                <c:pt idx="0">
                  <c:v>5.6497175141242938E-3</c:v>
                </c:pt>
                <c:pt idx="1">
                  <c:v>5.272407732864675E-3</c:v>
                </c:pt>
                <c:pt idx="2">
                  <c:v>5.1039008384979948E-3</c:v>
                </c:pt>
                <c:pt idx="3">
                  <c:v>4.8455481526347667E-3</c:v>
                </c:pt>
                <c:pt idx="4">
                  <c:v>5.8517555266579977E-3</c:v>
                </c:pt>
                <c:pt idx="5">
                  <c:v>6.4298344317633817E-3</c:v>
                </c:pt>
                <c:pt idx="6">
                  <c:v>9.5813372214122051E-3</c:v>
                </c:pt>
                <c:pt idx="7">
                  <c:v>1.8470511989630591E-2</c:v>
                </c:pt>
                <c:pt idx="8">
                  <c:v>4.4136460554371003E-2</c:v>
                </c:pt>
                <c:pt idx="9">
                  <c:v>0.11347568893377578</c:v>
                </c:pt>
                <c:pt idx="10">
                  <c:v>0.18348673671635307</c:v>
                </c:pt>
                <c:pt idx="11">
                  <c:v>0.28322881795464189</c:v>
                </c:pt>
                <c:pt idx="12">
                  <c:v>0.40826614919879167</c:v>
                </c:pt>
                <c:pt idx="13">
                  <c:v>0.36668042677505397</c:v>
                </c:pt>
                <c:pt idx="14">
                  <c:v>0.32563011562946603</c:v>
                </c:pt>
                <c:pt idx="15">
                  <c:v>0.2860902787604358</c:v>
                </c:pt>
                <c:pt idx="16">
                  <c:v>0.21719699843630005</c:v>
                </c:pt>
                <c:pt idx="17">
                  <c:v>0.11455283562381366</c:v>
                </c:pt>
                <c:pt idx="18">
                  <c:v>8.800475440907192E-2</c:v>
                </c:pt>
                <c:pt idx="19">
                  <c:v>7.2382834046451905E-2</c:v>
                </c:pt>
                <c:pt idx="20">
                  <c:v>5.7929178438620194E-2</c:v>
                </c:pt>
                <c:pt idx="21">
                  <c:v>4.82902013822053E-2</c:v>
                </c:pt>
                <c:pt idx="22">
                  <c:v>4.4515918868623931E-2</c:v>
                </c:pt>
                <c:pt idx="23">
                  <c:v>3.4343512842202169E-2</c:v>
                </c:pt>
                <c:pt idx="24">
                  <c:v>2.7581320450885669E-2</c:v>
                </c:pt>
                <c:pt idx="25">
                  <c:v>2.387191011868409E-2</c:v>
                </c:pt>
                <c:pt idx="26">
                  <c:v>2.0960472006279911E-2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E9-4681-8183-218FD5F56408}"/>
            </c:ext>
          </c:extLst>
        </c:ser>
        <c:ser>
          <c:idx val="1"/>
          <c:order val="1"/>
          <c:tx>
            <c:v>Actual</c:v>
          </c:tx>
          <c:spPr>
            <a:solidFill>
              <a:schemeClr val="accent6"/>
            </a:solidFill>
            <a:ln w="50800">
              <a:solidFill>
                <a:schemeClr val="accent6"/>
              </a:solidFill>
            </a:ln>
            <a:effectLst/>
          </c:spPr>
          <c:invertIfNegative val="0"/>
          <c:cat>
            <c:numRef>
              <c:f>model!$E$7:$E$33</c:f>
              <c:numCache>
                <c:formatCode>mmm\.\ d</c:formatCode>
                <c:ptCount val="27"/>
                <c:pt idx="0">
                  <c:v>43868</c:v>
                </c:pt>
                <c:pt idx="1">
                  <c:v>43873</c:v>
                </c:pt>
                <c:pt idx="2">
                  <c:v>43878</c:v>
                </c:pt>
                <c:pt idx="3">
                  <c:v>43883</c:v>
                </c:pt>
                <c:pt idx="4">
                  <c:v>43888</c:v>
                </c:pt>
                <c:pt idx="5">
                  <c:v>43893</c:v>
                </c:pt>
                <c:pt idx="6">
                  <c:v>43898</c:v>
                </c:pt>
                <c:pt idx="7">
                  <c:v>43903</c:v>
                </c:pt>
                <c:pt idx="8">
                  <c:v>43908</c:v>
                </c:pt>
                <c:pt idx="9">
                  <c:v>43913</c:v>
                </c:pt>
                <c:pt idx="10">
                  <c:v>43918</c:v>
                </c:pt>
                <c:pt idx="11">
                  <c:v>43923</c:v>
                </c:pt>
                <c:pt idx="12">
                  <c:v>43928</c:v>
                </c:pt>
                <c:pt idx="13">
                  <c:v>43933</c:v>
                </c:pt>
                <c:pt idx="14">
                  <c:v>43938</c:v>
                </c:pt>
                <c:pt idx="15">
                  <c:v>43943</c:v>
                </c:pt>
                <c:pt idx="16">
                  <c:v>43948</c:v>
                </c:pt>
                <c:pt idx="17">
                  <c:v>43953</c:v>
                </c:pt>
                <c:pt idx="18">
                  <c:v>43958</c:v>
                </c:pt>
                <c:pt idx="19">
                  <c:v>43963</c:v>
                </c:pt>
                <c:pt idx="20">
                  <c:v>43968</c:v>
                </c:pt>
                <c:pt idx="21">
                  <c:v>43973</c:v>
                </c:pt>
                <c:pt idx="22">
                  <c:v>43978</c:v>
                </c:pt>
                <c:pt idx="23">
                  <c:v>43983</c:v>
                </c:pt>
                <c:pt idx="24">
                  <c:v>43988</c:v>
                </c:pt>
                <c:pt idx="25">
                  <c:v>43993</c:v>
                </c:pt>
                <c:pt idx="26">
                  <c:v>43998</c:v>
                </c:pt>
              </c:numCache>
            </c:numRef>
          </c:cat>
          <c:val>
            <c:numRef>
              <c:f>model!$AD$7:$AD$33</c:f>
              <c:numCache>
                <c:formatCode>0%</c:formatCode>
                <c:ptCount val="27"/>
                <c:pt idx="0">
                  <c:v>2.8248587570621469E-3</c:v>
                </c:pt>
                <c:pt idx="1">
                  <c:v>4.3936731107205628E-3</c:v>
                </c:pt>
                <c:pt idx="2">
                  <c:v>3.6456434560699962E-4</c:v>
                </c:pt>
                <c:pt idx="3">
                  <c:v>0</c:v>
                </c:pt>
                <c:pt idx="4">
                  <c:v>2.6007802340702211E-3</c:v>
                </c:pt>
                <c:pt idx="5">
                  <c:v>4.340138241440283E-3</c:v>
                </c:pt>
                <c:pt idx="6">
                  <c:v>1.7288064986461155E-2</c:v>
                </c:pt>
                <c:pt idx="7">
                  <c:v>4.1477640959170448E-2</c:v>
                </c:pt>
                <c:pt idx="8">
                  <c:v>5.7995735607675909E-2</c:v>
                </c:pt>
                <c:pt idx="9">
                  <c:v>0.13464867984417833</c:v>
                </c:pt>
                <c:pt idx="10">
                  <c:v>0.24055822540794439</c:v>
                </c:pt>
                <c:pt idx="11">
                  <c:v>0.35199679381394688</c:v>
                </c:pt>
                <c:pt idx="12">
                  <c:v>0.44279512673295057</c:v>
                </c:pt>
                <c:pt idx="13">
                  <c:v>0.43476120919598626</c:v>
                </c:pt>
                <c:pt idx="14">
                  <c:v>0.39141873457191112</c:v>
                </c:pt>
                <c:pt idx="15">
                  <c:v>0.36721381066930803</c:v>
                </c:pt>
                <c:pt idx="16">
                  <c:v>0.22017635574636601</c:v>
                </c:pt>
                <c:pt idx="17">
                  <c:v>9.6730711037927519E-2</c:v>
                </c:pt>
                <c:pt idx="18">
                  <c:v>7.6285778534485524E-2</c:v>
                </c:pt>
                <c:pt idx="19">
                  <c:v>6.8119704198621955E-2</c:v>
                </c:pt>
                <c:pt idx="20">
                  <c:v>4.7742018336329829E-2</c:v>
                </c:pt>
                <c:pt idx="21">
                  <c:v>3.015542093286231E-2</c:v>
                </c:pt>
                <c:pt idx="22">
                  <c:v>5.3614554822089842E-2</c:v>
                </c:pt>
                <c:pt idx="23">
                  <c:v>2.8500034373402757E-2</c:v>
                </c:pt>
                <c:pt idx="24">
                  <c:v>2.2026409017713366E-2</c:v>
                </c:pt>
                <c:pt idx="25">
                  <c:v>1.9228117181189542E-2</c:v>
                </c:pt>
                <c:pt idx="26">
                  <c:v>2.1251677597427261E-2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E9-4681-8183-218FD5F564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801554280"/>
        <c:axId val="801550344"/>
      </c:barChart>
      <c:dateAx>
        <c:axId val="801554280"/>
        <c:scaling>
          <c:orientation val="minMax"/>
          <c:max val="43998"/>
        </c:scaling>
        <c:delete val="0"/>
        <c:axPos val="b"/>
        <c:numFmt formatCode="mmm\.\ 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01550344"/>
        <c:crosses val="autoZero"/>
        <c:auto val="1"/>
        <c:lblOffset val="100"/>
        <c:baseTimeUnit val="days"/>
      </c:dateAx>
      <c:valAx>
        <c:axId val="8015503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>
                    <a:latin typeface="Arial" panose="020B0604020202020204" pitchFamily="34" charset="0"/>
                    <a:cs typeface="Arial" panose="020B0604020202020204" pitchFamily="34" charset="0"/>
                  </a:rPr>
                  <a:t>Positive test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01554280"/>
        <c:crosses val="autoZero"/>
        <c:crossBetween val="between"/>
        <c:majorUnit val="0.1"/>
      </c:valAx>
      <c:spPr>
        <a:noFill/>
        <a:ln w="19050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6.325688319644307E-2"/>
          <c:y val="3.78146700705854E-2"/>
          <c:w val="0.17541132868295875"/>
          <c:h val="0.108348144835708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Total (model)</c:v>
          </c:tx>
          <c:spPr>
            <a:solidFill>
              <a:schemeClr val="bg2">
                <a:lumMod val="75000"/>
              </a:schemeClr>
            </a:solidFill>
            <a:ln w="63500">
              <a:solidFill>
                <a:schemeClr val="bg2">
                  <a:lumMod val="75000"/>
                </a:schemeClr>
              </a:solidFill>
            </a:ln>
            <a:effectLst/>
          </c:spPr>
          <c:invertIfNegative val="0"/>
          <c:cat>
            <c:numRef>
              <c:f>model!$E$5:$E$33</c:f>
              <c:numCache>
                <c:formatCode>mmm\.\ d</c:formatCode>
                <c:ptCount val="29"/>
                <c:pt idx="0">
                  <c:v>43858</c:v>
                </c:pt>
                <c:pt idx="1">
                  <c:v>43863</c:v>
                </c:pt>
                <c:pt idx="2">
                  <c:v>43868</c:v>
                </c:pt>
                <c:pt idx="3">
                  <c:v>43873</c:v>
                </c:pt>
                <c:pt idx="4">
                  <c:v>43878</c:v>
                </c:pt>
                <c:pt idx="5">
                  <c:v>43883</c:v>
                </c:pt>
                <c:pt idx="6">
                  <c:v>43888</c:v>
                </c:pt>
                <c:pt idx="7">
                  <c:v>43893</c:v>
                </c:pt>
                <c:pt idx="8">
                  <c:v>43898</c:v>
                </c:pt>
                <c:pt idx="9">
                  <c:v>43903</c:v>
                </c:pt>
                <c:pt idx="10">
                  <c:v>43908</c:v>
                </c:pt>
                <c:pt idx="11">
                  <c:v>43913</c:v>
                </c:pt>
                <c:pt idx="12">
                  <c:v>43918</c:v>
                </c:pt>
                <c:pt idx="13">
                  <c:v>43923</c:v>
                </c:pt>
                <c:pt idx="14">
                  <c:v>43928</c:v>
                </c:pt>
                <c:pt idx="15">
                  <c:v>43933</c:v>
                </c:pt>
                <c:pt idx="16">
                  <c:v>43938</c:v>
                </c:pt>
                <c:pt idx="17">
                  <c:v>43943</c:v>
                </c:pt>
                <c:pt idx="18">
                  <c:v>43948</c:v>
                </c:pt>
                <c:pt idx="19">
                  <c:v>43953</c:v>
                </c:pt>
                <c:pt idx="20">
                  <c:v>43958</c:v>
                </c:pt>
                <c:pt idx="21">
                  <c:v>43963</c:v>
                </c:pt>
                <c:pt idx="22">
                  <c:v>43968</c:v>
                </c:pt>
                <c:pt idx="23">
                  <c:v>43973</c:v>
                </c:pt>
                <c:pt idx="24">
                  <c:v>43978</c:v>
                </c:pt>
                <c:pt idx="25">
                  <c:v>43983</c:v>
                </c:pt>
                <c:pt idx="26">
                  <c:v>43988</c:v>
                </c:pt>
                <c:pt idx="27">
                  <c:v>43993</c:v>
                </c:pt>
                <c:pt idx="28">
                  <c:v>43998</c:v>
                </c:pt>
              </c:numCache>
            </c:numRef>
          </c:cat>
          <c:val>
            <c:numRef>
              <c:f>model!$J$5:$J$33</c:f>
              <c:numCache>
                <c:formatCode>#,##0</c:formatCode>
                <c:ptCount val="29"/>
                <c:pt idx="0">
                  <c:v>0.28999999999999998</c:v>
                </c:pt>
                <c:pt idx="1">
                  <c:v>0.869999972801202</c:v>
                </c:pt>
                <c:pt idx="2">
                  <c:v>2.6099994913848841</c:v>
                </c:pt>
                <c:pt idx="3">
                  <c:v>7.8299940946162163</c:v>
                </c:pt>
                <c:pt idx="4">
                  <c:v>23.489941277970654</c:v>
                </c:pt>
                <c:pt idx="5">
                  <c:v>70.469450008704513</c:v>
                </c:pt>
                <c:pt idx="6">
                  <c:v>211.40497133122668</c:v>
                </c:pt>
                <c:pt idx="7">
                  <c:v>634.18446412045409</c:v>
                </c:pt>
                <c:pt idx="8">
                  <c:v>1902.2792503447479</c:v>
                </c:pt>
                <c:pt idx="9">
                  <c:v>5704.3710493612343</c:v>
                </c:pt>
                <c:pt idx="10">
                  <c:v>17090.937648131341</c:v>
                </c:pt>
                <c:pt idx="11">
                  <c:v>30668.160500311944</c:v>
                </c:pt>
                <c:pt idx="12">
                  <c:v>54852.394302999412</c:v>
                </c:pt>
                <c:pt idx="13">
                  <c:v>97537.54019119119</c:v>
                </c:pt>
                <c:pt idx="14">
                  <c:v>81340.348883168772</c:v>
                </c:pt>
                <c:pt idx="15">
                  <c:v>67443.298403964451</c:v>
                </c:pt>
                <c:pt idx="16">
                  <c:v>55653.30766587898</c:v>
                </c:pt>
                <c:pt idx="17">
                  <c:v>45742.699997645032</c:v>
                </c:pt>
                <c:pt idx="18">
                  <c:v>37474.402558383212</c:v>
                </c:pt>
                <c:pt idx="19">
                  <c:v>30618.503917366605</c:v>
                </c:pt>
                <c:pt idx="20">
                  <c:v>24962.095426984939</c:v>
                </c:pt>
                <c:pt idx="21">
                  <c:v>20314.255321188397</c:v>
                </c:pt>
                <c:pt idx="22">
                  <c:v>16507.741542905915</c:v>
                </c:pt>
                <c:pt idx="23">
                  <c:v>13398.603129695693</c:v>
                </c:pt>
                <c:pt idx="24">
                  <c:v>10864.586444600322</c:v>
                </c:pt>
                <c:pt idx="25">
                  <c:v>8802.9371295694891</c:v>
                </c:pt>
                <c:pt idx="26">
                  <c:v>7127.9884476601674</c:v>
                </c:pt>
                <c:pt idx="27">
                  <c:v>5768.7751345210963</c:v>
                </c:pt>
                <c:pt idx="28">
                  <c:v>4666.8076132868509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2F-4763-BA9C-12986FFB772E}"/>
            </c:ext>
          </c:extLst>
        </c:ser>
        <c:ser>
          <c:idx val="1"/>
          <c:order val="1"/>
          <c:tx>
            <c:v>Detected (actual)</c:v>
          </c:tx>
          <c:spPr>
            <a:solidFill>
              <a:schemeClr val="tx1">
                <a:lumMod val="75000"/>
                <a:lumOff val="25000"/>
              </a:schemeClr>
            </a:solidFill>
            <a:ln w="50800">
              <a:solidFill>
                <a:schemeClr val="tx1">
                  <a:lumMod val="75000"/>
                  <a:lumOff val="25000"/>
                </a:schemeClr>
              </a:solidFill>
            </a:ln>
            <a:effectLst/>
          </c:spPr>
          <c:invertIfNegative val="0"/>
          <c:cat>
            <c:numRef>
              <c:f>model!$E$5:$E$33</c:f>
              <c:numCache>
                <c:formatCode>mmm\.\ d</c:formatCode>
                <c:ptCount val="29"/>
                <c:pt idx="0">
                  <c:v>43858</c:v>
                </c:pt>
                <c:pt idx="1">
                  <c:v>43863</c:v>
                </c:pt>
                <c:pt idx="2">
                  <c:v>43868</c:v>
                </c:pt>
                <c:pt idx="3">
                  <c:v>43873</c:v>
                </c:pt>
                <c:pt idx="4">
                  <c:v>43878</c:v>
                </c:pt>
                <c:pt idx="5">
                  <c:v>43883</c:v>
                </c:pt>
                <c:pt idx="6">
                  <c:v>43888</c:v>
                </c:pt>
                <c:pt idx="7">
                  <c:v>43893</c:v>
                </c:pt>
                <c:pt idx="8">
                  <c:v>43898</c:v>
                </c:pt>
                <c:pt idx="9">
                  <c:v>43903</c:v>
                </c:pt>
                <c:pt idx="10">
                  <c:v>43908</c:v>
                </c:pt>
                <c:pt idx="11">
                  <c:v>43913</c:v>
                </c:pt>
                <c:pt idx="12">
                  <c:v>43918</c:v>
                </c:pt>
                <c:pt idx="13">
                  <c:v>43923</c:v>
                </c:pt>
                <c:pt idx="14">
                  <c:v>43928</c:v>
                </c:pt>
                <c:pt idx="15">
                  <c:v>43933</c:v>
                </c:pt>
                <c:pt idx="16">
                  <c:v>43938</c:v>
                </c:pt>
                <c:pt idx="17">
                  <c:v>43943</c:v>
                </c:pt>
                <c:pt idx="18">
                  <c:v>43948</c:v>
                </c:pt>
                <c:pt idx="19">
                  <c:v>43953</c:v>
                </c:pt>
                <c:pt idx="20">
                  <c:v>43958</c:v>
                </c:pt>
                <c:pt idx="21">
                  <c:v>43963</c:v>
                </c:pt>
                <c:pt idx="22">
                  <c:v>43968</c:v>
                </c:pt>
                <c:pt idx="23">
                  <c:v>43973</c:v>
                </c:pt>
                <c:pt idx="24">
                  <c:v>43978</c:v>
                </c:pt>
                <c:pt idx="25">
                  <c:v>43983</c:v>
                </c:pt>
                <c:pt idx="26">
                  <c:v>43988</c:v>
                </c:pt>
                <c:pt idx="27">
                  <c:v>43993</c:v>
                </c:pt>
                <c:pt idx="28">
                  <c:v>43998</c:v>
                </c:pt>
              </c:numCache>
            </c:numRef>
          </c:cat>
          <c:val>
            <c:numRef>
              <c:f>model!$AB$5:$AB$33</c:f>
              <c:numCache>
                <c:formatCode>#,##0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0.2</c:v>
                </c:pt>
                <c:pt idx="3">
                  <c:v>1</c:v>
                </c:pt>
                <c:pt idx="4">
                  <c:v>0.2</c:v>
                </c:pt>
                <c:pt idx="5">
                  <c:v>0</c:v>
                </c:pt>
                <c:pt idx="6">
                  <c:v>0.8</c:v>
                </c:pt>
                <c:pt idx="7">
                  <c:v>5.4</c:v>
                </c:pt>
                <c:pt idx="8">
                  <c:v>33.200000000000003</c:v>
                </c:pt>
                <c:pt idx="9">
                  <c:v>76.8</c:v>
                </c:pt>
                <c:pt idx="10">
                  <c:v>272</c:v>
                </c:pt>
                <c:pt idx="11">
                  <c:v>746.6</c:v>
                </c:pt>
                <c:pt idx="12">
                  <c:v>1772</c:v>
                </c:pt>
                <c:pt idx="13">
                  <c:v>2986.2</c:v>
                </c:pt>
                <c:pt idx="14">
                  <c:v>4426.8</c:v>
                </c:pt>
                <c:pt idx="15">
                  <c:v>5476.6</c:v>
                </c:pt>
                <c:pt idx="16">
                  <c:v>4820.3999999999996</c:v>
                </c:pt>
                <c:pt idx="17">
                  <c:v>5190.2</c:v>
                </c:pt>
                <c:pt idx="18">
                  <c:v>4759.2</c:v>
                </c:pt>
                <c:pt idx="19">
                  <c:v>4922.8</c:v>
                </c:pt>
                <c:pt idx="20">
                  <c:v>4749.3999999999996</c:v>
                </c:pt>
                <c:pt idx="21">
                  <c:v>4371.8</c:v>
                </c:pt>
                <c:pt idx="22">
                  <c:v>3420.2</c:v>
                </c:pt>
                <c:pt idx="23">
                  <c:v>2149.4</c:v>
                </c:pt>
                <c:pt idx="24">
                  <c:v>2863.8</c:v>
                </c:pt>
                <c:pt idx="25">
                  <c:v>1907</c:v>
                </c:pt>
                <c:pt idx="26">
                  <c:v>1709.8</c:v>
                </c:pt>
                <c:pt idx="27">
                  <c:v>1366.4</c:v>
                </c:pt>
                <c:pt idx="28">
                  <c:v>1342.8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2F-4763-BA9C-12986FFB77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714304632"/>
        <c:axId val="714304304"/>
      </c:barChart>
      <c:dateAx>
        <c:axId val="714304632"/>
        <c:scaling>
          <c:orientation val="minMax"/>
          <c:max val="43998"/>
          <c:min val="43868"/>
        </c:scaling>
        <c:delete val="0"/>
        <c:axPos val="b"/>
        <c:numFmt formatCode="mmm\.\ 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14304304"/>
        <c:crosses val="autoZero"/>
        <c:auto val="1"/>
        <c:lblOffset val="100"/>
        <c:baseTimeUnit val="days"/>
      </c:dateAx>
      <c:valAx>
        <c:axId val="7143043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>
                    <a:latin typeface="Arial" panose="020B0604020202020204" pitchFamily="34" charset="0"/>
                    <a:cs typeface="Arial" panose="020B0604020202020204" pitchFamily="34" charset="0"/>
                  </a:rPr>
                  <a:t>New infections/day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14304632"/>
        <c:crosses val="autoZero"/>
        <c:crossBetween val="between"/>
      </c:valAx>
      <c:spPr>
        <a:noFill/>
        <a:ln w="19050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9.9475338952097078E-2"/>
          <c:y val="5.1118257423864312E-2"/>
          <c:w val="0.23617411587256029"/>
          <c:h val="0.103366591764592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Tests carried out</c:v>
          </c:tx>
          <c:spPr>
            <a:solidFill>
              <a:schemeClr val="accent1"/>
            </a:solidFill>
            <a:ln w="63500">
              <a:solidFill>
                <a:schemeClr val="accent1"/>
              </a:solidFill>
            </a:ln>
            <a:effectLst/>
          </c:spPr>
          <c:invertIfNegative val="0"/>
          <c:cat>
            <c:numRef>
              <c:f>model!$E$7:$E$33</c:f>
              <c:numCache>
                <c:formatCode>mmm\.\ d</c:formatCode>
                <c:ptCount val="27"/>
                <c:pt idx="0">
                  <c:v>43868</c:v>
                </c:pt>
                <c:pt idx="1">
                  <c:v>43873</c:v>
                </c:pt>
                <c:pt idx="2">
                  <c:v>43878</c:v>
                </c:pt>
                <c:pt idx="3">
                  <c:v>43883</c:v>
                </c:pt>
                <c:pt idx="4">
                  <c:v>43888</c:v>
                </c:pt>
                <c:pt idx="5">
                  <c:v>43893</c:v>
                </c:pt>
                <c:pt idx="6">
                  <c:v>43898</c:v>
                </c:pt>
                <c:pt idx="7">
                  <c:v>43903</c:v>
                </c:pt>
                <c:pt idx="8">
                  <c:v>43908</c:v>
                </c:pt>
                <c:pt idx="9">
                  <c:v>43913</c:v>
                </c:pt>
                <c:pt idx="10">
                  <c:v>43918</c:v>
                </c:pt>
                <c:pt idx="11">
                  <c:v>43923</c:v>
                </c:pt>
                <c:pt idx="12">
                  <c:v>43928</c:v>
                </c:pt>
                <c:pt idx="13">
                  <c:v>43933</c:v>
                </c:pt>
                <c:pt idx="14">
                  <c:v>43938</c:v>
                </c:pt>
                <c:pt idx="15">
                  <c:v>43943</c:v>
                </c:pt>
                <c:pt idx="16">
                  <c:v>43948</c:v>
                </c:pt>
                <c:pt idx="17">
                  <c:v>43953</c:v>
                </c:pt>
                <c:pt idx="18">
                  <c:v>43958</c:v>
                </c:pt>
                <c:pt idx="19">
                  <c:v>43963</c:v>
                </c:pt>
                <c:pt idx="20">
                  <c:v>43968</c:v>
                </c:pt>
                <c:pt idx="21">
                  <c:v>43973</c:v>
                </c:pt>
                <c:pt idx="22">
                  <c:v>43978</c:v>
                </c:pt>
                <c:pt idx="23">
                  <c:v>43983</c:v>
                </c:pt>
                <c:pt idx="24">
                  <c:v>43988</c:v>
                </c:pt>
                <c:pt idx="25">
                  <c:v>43993</c:v>
                </c:pt>
                <c:pt idx="26">
                  <c:v>43998</c:v>
                </c:pt>
              </c:numCache>
            </c:numRef>
          </c:cat>
          <c:val>
            <c:numRef>
              <c:f>model!$AJ$7:$AJ$33</c:f>
              <c:numCache>
                <c:formatCode>#,##0</c:formatCode>
                <c:ptCount val="27"/>
                <c:pt idx="0">
                  <c:v>70.8</c:v>
                </c:pt>
                <c:pt idx="1">
                  <c:v>227.6</c:v>
                </c:pt>
                <c:pt idx="2">
                  <c:v>548.6</c:v>
                </c:pt>
                <c:pt idx="3">
                  <c:v>330.2</c:v>
                </c:pt>
                <c:pt idx="4">
                  <c:v>307.60000000000002</c:v>
                </c:pt>
                <c:pt idx="5">
                  <c:v>1244.2</c:v>
                </c:pt>
                <c:pt idx="6">
                  <c:v>1920.4</c:v>
                </c:pt>
                <c:pt idx="7">
                  <c:v>1851.6</c:v>
                </c:pt>
                <c:pt idx="8">
                  <c:v>4690</c:v>
                </c:pt>
                <c:pt idx="9">
                  <c:v>5544.8</c:v>
                </c:pt>
                <c:pt idx="10">
                  <c:v>7366.2</c:v>
                </c:pt>
                <c:pt idx="11">
                  <c:v>8483.6</c:v>
                </c:pt>
                <c:pt idx="12">
                  <c:v>9997.4</c:v>
                </c:pt>
                <c:pt idx="13">
                  <c:v>12596.8</c:v>
                </c:pt>
                <c:pt idx="14">
                  <c:v>12315.2</c:v>
                </c:pt>
                <c:pt idx="15">
                  <c:v>14134</c:v>
                </c:pt>
                <c:pt idx="16">
                  <c:v>21615.4</c:v>
                </c:pt>
                <c:pt idx="17">
                  <c:v>50891.8</c:v>
                </c:pt>
                <c:pt idx="18">
                  <c:v>62258</c:v>
                </c:pt>
                <c:pt idx="19">
                  <c:v>64178.2</c:v>
                </c:pt>
                <c:pt idx="20">
                  <c:v>71639.199999999997</c:v>
                </c:pt>
                <c:pt idx="21">
                  <c:v>71277.399999999994</c:v>
                </c:pt>
                <c:pt idx="22">
                  <c:v>53414.6</c:v>
                </c:pt>
                <c:pt idx="23">
                  <c:v>66912.2</c:v>
                </c:pt>
                <c:pt idx="24">
                  <c:v>77625</c:v>
                </c:pt>
                <c:pt idx="25">
                  <c:v>71062.600000000006</c:v>
                </c:pt>
                <c:pt idx="26">
                  <c:v>63185.599999999999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5F-4F80-B830-7635CFD654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801554280"/>
        <c:axId val="801550344"/>
      </c:barChart>
      <c:dateAx>
        <c:axId val="801554280"/>
        <c:scaling>
          <c:orientation val="minMax"/>
          <c:max val="43998"/>
        </c:scaling>
        <c:delete val="0"/>
        <c:axPos val="b"/>
        <c:numFmt formatCode="mmm\.\ 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01550344"/>
        <c:crosses val="autoZero"/>
        <c:auto val="1"/>
        <c:lblOffset val="100"/>
        <c:baseTimeUnit val="days"/>
      </c:dateAx>
      <c:valAx>
        <c:axId val="8015503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>
                    <a:latin typeface="Arial" panose="020B0604020202020204" pitchFamily="34" charset="0"/>
                    <a:cs typeface="Arial" panose="020B0604020202020204" pitchFamily="34" charset="0"/>
                  </a:rPr>
                  <a:t>New tests/day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01554280"/>
        <c:crosses val="autoZero"/>
        <c:crossBetween val="between"/>
        <c:majorUnit val="20000"/>
      </c:valAx>
      <c:spPr>
        <a:noFill/>
        <a:ln w="1905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Predicted</c:v>
          </c:tx>
          <c:spPr>
            <a:solidFill>
              <a:schemeClr val="accent1"/>
            </a:solidFill>
            <a:ln w="63500">
              <a:solidFill>
                <a:schemeClr val="accent1"/>
              </a:solidFill>
            </a:ln>
            <a:effectLst/>
          </c:spPr>
          <c:invertIfNegative val="0"/>
          <c:cat>
            <c:numRef>
              <c:f>model!$E$7:$E$33</c:f>
              <c:numCache>
                <c:formatCode>mmm\.\ d</c:formatCode>
                <c:ptCount val="27"/>
                <c:pt idx="0">
                  <c:v>43868</c:v>
                </c:pt>
                <c:pt idx="1">
                  <c:v>43873</c:v>
                </c:pt>
                <c:pt idx="2">
                  <c:v>43878</c:v>
                </c:pt>
                <c:pt idx="3">
                  <c:v>43883</c:v>
                </c:pt>
                <c:pt idx="4">
                  <c:v>43888</c:v>
                </c:pt>
                <c:pt idx="5">
                  <c:v>43893</c:v>
                </c:pt>
                <c:pt idx="6">
                  <c:v>43898</c:v>
                </c:pt>
                <c:pt idx="7">
                  <c:v>43903</c:v>
                </c:pt>
                <c:pt idx="8">
                  <c:v>43908</c:v>
                </c:pt>
                <c:pt idx="9">
                  <c:v>43913</c:v>
                </c:pt>
                <c:pt idx="10">
                  <c:v>43918</c:v>
                </c:pt>
                <c:pt idx="11">
                  <c:v>43923</c:v>
                </c:pt>
                <c:pt idx="12">
                  <c:v>43928</c:v>
                </c:pt>
                <c:pt idx="13">
                  <c:v>43933</c:v>
                </c:pt>
                <c:pt idx="14">
                  <c:v>43938</c:v>
                </c:pt>
                <c:pt idx="15">
                  <c:v>43943</c:v>
                </c:pt>
                <c:pt idx="16">
                  <c:v>43948</c:v>
                </c:pt>
                <c:pt idx="17">
                  <c:v>43953</c:v>
                </c:pt>
                <c:pt idx="18">
                  <c:v>43958</c:v>
                </c:pt>
                <c:pt idx="19">
                  <c:v>43963</c:v>
                </c:pt>
                <c:pt idx="20">
                  <c:v>43968</c:v>
                </c:pt>
                <c:pt idx="21">
                  <c:v>43973</c:v>
                </c:pt>
                <c:pt idx="22">
                  <c:v>43978</c:v>
                </c:pt>
                <c:pt idx="23">
                  <c:v>43983</c:v>
                </c:pt>
                <c:pt idx="24">
                  <c:v>43988</c:v>
                </c:pt>
                <c:pt idx="25">
                  <c:v>43993</c:v>
                </c:pt>
                <c:pt idx="26">
                  <c:v>43998</c:v>
                </c:pt>
              </c:numCache>
            </c:numRef>
          </c:cat>
          <c:val>
            <c:numRef>
              <c:f>model!$M$7:$M$33</c:f>
              <c:numCache>
                <c:formatCode>#,##0</c:formatCode>
                <c:ptCount val="27"/>
                <c:pt idx="0">
                  <c:v>3.4799999184036063E-3</c:v>
                </c:pt>
                <c:pt idx="1">
                  <c:v>1.1309998392558258E-2</c:v>
                </c:pt>
                <c:pt idx="2">
                  <c:v>3.4799980676406904E-2</c:v>
                </c:pt>
                <c:pt idx="3">
                  <c:v>0.10439980451031887</c:v>
                </c:pt>
                <c:pt idx="4">
                  <c:v>0.3131981546180288</c:v>
                </c:pt>
                <c:pt idx="5">
                  <c:v>0.93958307013755404</c:v>
                </c:pt>
                <c:pt idx="6">
                  <c:v>2.8186464802150679</c:v>
                </c:pt>
                <c:pt idx="7">
                  <c:v>8.4550144074153994</c:v>
                </c:pt>
                <c:pt idx="8">
                  <c:v>25.356719205472988</c:v>
                </c:pt>
                <c:pt idx="9">
                  <c:v>75.99531723587333</c:v>
                </c:pt>
                <c:pt idx="10">
                  <c:v>166.0972453444478</c:v>
                </c:pt>
                <c:pt idx="11">
                  <c:v>324.9475905024118</c:v>
                </c:pt>
                <c:pt idx="12">
                  <c:v>600.44709792790161</c:v>
                </c:pt>
                <c:pt idx="13">
                  <c:v>793.19533163301401</c:v>
                </c:pt>
                <c:pt idx="14">
                  <c:v>903.52074534397138</c:v>
                </c:pt>
                <c:pt idx="15">
                  <c:v>905.92348543261016</c:v>
                </c:pt>
                <c:pt idx="16">
                  <c:v>750.53896485197163</c:v>
                </c:pt>
                <c:pt idx="17">
                  <c:v>618.94112587761504</c:v>
                </c:pt>
                <c:pt idx="18">
                  <c:v>508.46674241782148</c:v>
                </c:pt>
                <c:pt idx="19">
                  <c:v>416.3931057011394</c:v>
                </c:pt>
                <c:pt idx="20">
                  <c:v>340.10777167176946</c:v>
                </c:pt>
                <c:pt idx="21">
                  <c:v>277.20778862533757</c:v>
                </c:pt>
                <c:pt idx="22">
                  <c:v>225.54808626232483</c:v>
                </c:pt>
                <c:pt idx="23">
                  <c:v>183.25555931517101</c:v>
                </c:pt>
                <c:pt idx="24">
                  <c:v>148.72160474031426</c:v>
                </c:pt>
                <c:pt idx="25">
                  <c:v>120.58234545457701</c:v>
                </c:pt>
                <c:pt idx="26">
                  <c:v>97.692861469053213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43-4DB1-851F-CC5B22AFA6C9}"/>
            </c:ext>
          </c:extLst>
        </c:ser>
        <c:ser>
          <c:idx val="1"/>
          <c:order val="1"/>
          <c:tx>
            <c:v>Actual</c:v>
          </c:tx>
          <c:spPr>
            <a:solidFill>
              <a:schemeClr val="accent6"/>
            </a:solidFill>
            <a:ln w="47625">
              <a:solidFill>
                <a:schemeClr val="accent6"/>
              </a:solidFill>
            </a:ln>
            <a:effectLst/>
          </c:spPr>
          <c:invertIfNegative val="0"/>
          <c:cat>
            <c:numRef>
              <c:f>model!$E$7:$E$33</c:f>
              <c:numCache>
                <c:formatCode>mmm\.\ d</c:formatCode>
                <c:ptCount val="27"/>
                <c:pt idx="0">
                  <c:v>43868</c:v>
                </c:pt>
                <c:pt idx="1">
                  <c:v>43873</c:v>
                </c:pt>
                <c:pt idx="2">
                  <c:v>43878</c:v>
                </c:pt>
                <c:pt idx="3">
                  <c:v>43883</c:v>
                </c:pt>
                <c:pt idx="4">
                  <c:v>43888</c:v>
                </c:pt>
                <c:pt idx="5">
                  <c:v>43893</c:v>
                </c:pt>
                <c:pt idx="6">
                  <c:v>43898</c:v>
                </c:pt>
                <c:pt idx="7">
                  <c:v>43903</c:v>
                </c:pt>
                <c:pt idx="8">
                  <c:v>43908</c:v>
                </c:pt>
                <c:pt idx="9">
                  <c:v>43913</c:v>
                </c:pt>
                <c:pt idx="10">
                  <c:v>43918</c:v>
                </c:pt>
                <c:pt idx="11">
                  <c:v>43923</c:v>
                </c:pt>
                <c:pt idx="12">
                  <c:v>43928</c:v>
                </c:pt>
                <c:pt idx="13">
                  <c:v>43933</c:v>
                </c:pt>
                <c:pt idx="14">
                  <c:v>43938</c:v>
                </c:pt>
                <c:pt idx="15">
                  <c:v>43943</c:v>
                </c:pt>
                <c:pt idx="16">
                  <c:v>43948</c:v>
                </c:pt>
                <c:pt idx="17">
                  <c:v>43953</c:v>
                </c:pt>
                <c:pt idx="18">
                  <c:v>43958</c:v>
                </c:pt>
                <c:pt idx="19">
                  <c:v>43963</c:v>
                </c:pt>
                <c:pt idx="20">
                  <c:v>43968</c:v>
                </c:pt>
                <c:pt idx="21">
                  <c:v>43973</c:v>
                </c:pt>
                <c:pt idx="22">
                  <c:v>43978</c:v>
                </c:pt>
                <c:pt idx="23">
                  <c:v>43983</c:v>
                </c:pt>
                <c:pt idx="24">
                  <c:v>43988</c:v>
                </c:pt>
                <c:pt idx="25">
                  <c:v>43993</c:v>
                </c:pt>
                <c:pt idx="26">
                  <c:v>43998</c:v>
                </c:pt>
              </c:numCache>
            </c:numRef>
          </c:cat>
          <c:val>
            <c:numRef>
              <c:f>model!$AG$7:$AG$33</c:f>
              <c:numCache>
                <c:formatCode>#,##0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0.4</c:v>
                </c:pt>
                <c:pt idx="7">
                  <c:v>1.4</c:v>
                </c:pt>
                <c:pt idx="8">
                  <c:v>14.4</c:v>
                </c:pt>
                <c:pt idx="9">
                  <c:v>40.799999999999997</c:v>
                </c:pt>
                <c:pt idx="10">
                  <c:v>175.2</c:v>
                </c:pt>
                <c:pt idx="11">
                  <c:v>386.8</c:v>
                </c:pt>
                <c:pt idx="12">
                  <c:v>667.6</c:v>
                </c:pt>
                <c:pt idx="13">
                  <c:v>1033.2</c:v>
                </c:pt>
                <c:pt idx="14">
                  <c:v>869</c:v>
                </c:pt>
                <c:pt idx="15">
                  <c:v>855.8</c:v>
                </c:pt>
                <c:pt idx="16">
                  <c:v>766.4</c:v>
                </c:pt>
                <c:pt idx="17">
                  <c:v>691</c:v>
                </c:pt>
                <c:pt idx="18">
                  <c:v>513.20000000000005</c:v>
                </c:pt>
                <c:pt idx="19">
                  <c:v>397.8</c:v>
                </c:pt>
                <c:pt idx="20">
                  <c:v>480.2</c:v>
                </c:pt>
                <c:pt idx="21">
                  <c:v>315.2</c:v>
                </c:pt>
                <c:pt idx="22">
                  <c:v>201.2</c:v>
                </c:pt>
                <c:pt idx="23">
                  <c:v>288.2</c:v>
                </c:pt>
                <c:pt idx="24">
                  <c:v>354.4</c:v>
                </c:pt>
                <c:pt idx="25">
                  <c:v>173.4</c:v>
                </c:pt>
                <c:pt idx="26">
                  <c:v>121.6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43-4DB1-851F-CC5B22AFA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801554280"/>
        <c:axId val="801550344"/>
      </c:barChart>
      <c:dateAx>
        <c:axId val="801554280"/>
        <c:scaling>
          <c:orientation val="minMax"/>
          <c:max val="43998"/>
        </c:scaling>
        <c:delete val="0"/>
        <c:axPos val="b"/>
        <c:numFmt formatCode="mmm\.\ 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01550344"/>
        <c:crosses val="autoZero"/>
        <c:auto val="1"/>
        <c:lblOffset val="100"/>
        <c:baseTimeUnit val="days"/>
      </c:dateAx>
      <c:valAx>
        <c:axId val="8015503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>
                    <a:latin typeface="Arial" panose="020B0604020202020204" pitchFamily="34" charset="0"/>
                    <a:cs typeface="Arial" panose="020B0604020202020204" pitchFamily="34" charset="0"/>
                  </a:rPr>
                  <a:t>New deaths/day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01554280"/>
        <c:crosses val="autoZero"/>
        <c:crossBetween val="between"/>
      </c:valAx>
      <c:spPr>
        <a:noFill/>
        <a:ln w="19050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8.3837823524705576E-2"/>
          <c:y val="5.383076773915977E-2"/>
          <c:w val="0.16551041185086796"/>
          <c:h val="6.67540558941902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Predicted</c:v>
          </c:tx>
          <c:spPr>
            <a:solidFill>
              <a:schemeClr val="accent1"/>
            </a:solidFill>
            <a:ln w="63500">
              <a:solidFill>
                <a:schemeClr val="accent1"/>
              </a:solidFill>
            </a:ln>
            <a:effectLst/>
          </c:spPr>
          <c:invertIfNegative val="0"/>
          <c:cat>
            <c:numRef>
              <c:f>model!$E$7:$E$33</c:f>
              <c:numCache>
                <c:formatCode>mmm\.\ d</c:formatCode>
                <c:ptCount val="27"/>
                <c:pt idx="0">
                  <c:v>43868</c:v>
                </c:pt>
                <c:pt idx="1">
                  <c:v>43873</c:v>
                </c:pt>
                <c:pt idx="2">
                  <c:v>43878</c:v>
                </c:pt>
                <c:pt idx="3">
                  <c:v>43883</c:v>
                </c:pt>
                <c:pt idx="4">
                  <c:v>43888</c:v>
                </c:pt>
                <c:pt idx="5">
                  <c:v>43893</c:v>
                </c:pt>
                <c:pt idx="6">
                  <c:v>43898</c:v>
                </c:pt>
                <c:pt idx="7">
                  <c:v>43903</c:v>
                </c:pt>
                <c:pt idx="8">
                  <c:v>43908</c:v>
                </c:pt>
                <c:pt idx="9">
                  <c:v>43913</c:v>
                </c:pt>
                <c:pt idx="10">
                  <c:v>43918</c:v>
                </c:pt>
                <c:pt idx="11">
                  <c:v>43923</c:v>
                </c:pt>
                <c:pt idx="12">
                  <c:v>43928</c:v>
                </c:pt>
                <c:pt idx="13">
                  <c:v>43933</c:v>
                </c:pt>
                <c:pt idx="14">
                  <c:v>43938</c:v>
                </c:pt>
                <c:pt idx="15">
                  <c:v>43943</c:v>
                </c:pt>
                <c:pt idx="16">
                  <c:v>43948</c:v>
                </c:pt>
                <c:pt idx="17">
                  <c:v>43953</c:v>
                </c:pt>
                <c:pt idx="18">
                  <c:v>43958</c:v>
                </c:pt>
                <c:pt idx="19">
                  <c:v>43963</c:v>
                </c:pt>
                <c:pt idx="20">
                  <c:v>43968</c:v>
                </c:pt>
                <c:pt idx="21">
                  <c:v>43973</c:v>
                </c:pt>
                <c:pt idx="22">
                  <c:v>43978</c:v>
                </c:pt>
                <c:pt idx="23">
                  <c:v>43983</c:v>
                </c:pt>
                <c:pt idx="24">
                  <c:v>43988</c:v>
                </c:pt>
                <c:pt idx="25">
                  <c:v>43993</c:v>
                </c:pt>
                <c:pt idx="26">
                  <c:v>43998</c:v>
                </c:pt>
              </c:numCache>
            </c:numRef>
          </c:cat>
          <c:val>
            <c:numRef>
              <c:f>model!$S$7:$S$33</c:f>
              <c:numCache>
                <c:formatCode>#,##0</c:formatCode>
                <c:ptCount val="27"/>
                <c:pt idx="0">
                  <c:v>0.4</c:v>
                </c:pt>
                <c:pt idx="1">
                  <c:v>1.2</c:v>
                </c:pt>
                <c:pt idx="2">
                  <c:v>2.8</c:v>
                </c:pt>
                <c:pt idx="3">
                  <c:v>1.6</c:v>
                </c:pt>
                <c:pt idx="4">
                  <c:v>1.8</c:v>
                </c:pt>
                <c:pt idx="5">
                  <c:v>8</c:v>
                </c:pt>
                <c:pt idx="6">
                  <c:v>18.399999999999999</c:v>
                </c:pt>
                <c:pt idx="7">
                  <c:v>34.200000000000003</c:v>
                </c:pt>
                <c:pt idx="8">
                  <c:v>207</c:v>
                </c:pt>
                <c:pt idx="9">
                  <c:v>629.20000000000005</c:v>
                </c:pt>
                <c:pt idx="10">
                  <c:v>1351.6</c:v>
                </c:pt>
                <c:pt idx="11">
                  <c:v>2402.8000000000002</c:v>
                </c:pt>
                <c:pt idx="12">
                  <c:v>4081.6</c:v>
                </c:pt>
                <c:pt idx="13">
                  <c:v>4619</c:v>
                </c:pt>
                <c:pt idx="14">
                  <c:v>4010.2</c:v>
                </c:pt>
                <c:pt idx="15">
                  <c:v>4043.6</c:v>
                </c:pt>
                <c:pt idx="16">
                  <c:v>4694.8</c:v>
                </c:pt>
                <c:pt idx="17">
                  <c:v>5829.8</c:v>
                </c:pt>
                <c:pt idx="18">
                  <c:v>5479</c:v>
                </c:pt>
                <c:pt idx="19">
                  <c:v>4645.3999999999996</c:v>
                </c:pt>
                <c:pt idx="20">
                  <c:v>4150</c:v>
                </c:pt>
                <c:pt idx="21">
                  <c:v>3442</c:v>
                </c:pt>
                <c:pt idx="22">
                  <c:v>2377.8000000000002</c:v>
                </c:pt>
                <c:pt idx="23">
                  <c:v>2298</c:v>
                </c:pt>
                <c:pt idx="24">
                  <c:v>2141</c:v>
                </c:pt>
                <c:pt idx="25">
                  <c:v>1696.4</c:v>
                </c:pt>
                <c:pt idx="26">
                  <c:v>1324.4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87-4F08-858A-AA144275EAEC}"/>
            </c:ext>
          </c:extLst>
        </c:ser>
        <c:ser>
          <c:idx val="1"/>
          <c:order val="1"/>
          <c:tx>
            <c:v>Actual</c:v>
          </c:tx>
          <c:spPr>
            <a:solidFill>
              <a:schemeClr val="accent6"/>
            </a:solidFill>
            <a:ln w="50800">
              <a:solidFill>
                <a:schemeClr val="accent6"/>
              </a:solidFill>
            </a:ln>
            <a:effectLst/>
          </c:spPr>
          <c:invertIfNegative val="0"/>
          <c:cat>
            <c:numRef>
              <c:f>model!$E$7:$E$33</c:f>
              <c:numCache>
                <c:formatCode>mmm\.\ d</c:formatCode>
                <c:ptCount val="27"/>
                <c:pt idx="0">
                  <c:v>43868</c:v>
                </c:pt>
                <c:pt idx="1">
                  <c:v>43873</c:v>
                </c:pt>
                <c:pt idx="2">
                  <c:v>43878</c:v>
                </c:pt>
                <c:pt idx="3">
                  <c:v>43883</c:v>
                </c:pt>
                <c:pt idx="4">
                  <c:v>43888</c:v>
                </c:pt>
                <c:pt idx="5">
                  <c:v>43893</c:v>
                </c:pt>
                <c:pt idx="6">
                  <c:v>43898</c:v>
                </c:pt>
                <c:pt idx="7">
                  <c:v>43903</c:v>
                </c:pt>
                <c:pt idx="8">
                  <c:v>43908</c:v>
                </c:pt>
                <c:pt idx="9">
                  <c:v>43913</c:v>
                </c:pt>
                <c:pt idx="10">
                  <c:v>43918</c:v>
                </c:pt>
                <c:pt idx="11">
                  <c:v>43923</c:v>
                </c:pt>
                <c:pt idx="12">
                  <c:v>43928</c:v>
                </c:pt>
                <c:pt idx="13">
                  <c:v>43933</c:v>
                </c:pt>
                <c:pt idx="14">
                  <c:v>43938</c:v>
                </c:pt>
                <c:pt idx="15">
                  <c:v>43943</c:v>
                </c:pt>
                <c:pt idx="16">
                  <c:v>43948</c:v>
                </c:pt>
                <c:pt idx="17">
                  <c:v>43953</c:v>
                </c:pt>
                <c:pt idx="18">
                  <c:v>43958</c:v>
                </c:pt>
                <c:pt idx="19">
                  <c:v>43963</c:v>
                </c:pt>
                <c:pt idx="20">
                  <c:v>43968</c:v>
                </c:pt>
                <c:pt idx="21">
                  <c:v>43973</c:v>
                </c:pt>
                <c:pt idx="22">
                  <c:v>43978</c:v>
                </c:pt>
                <c:pt idx="23">
                  <c:v>43983</c:v>
                </c:pt>
                <c:pt idx="24">
                  <c:v>43988</c:v>
                </c:pt>
                <c:pt idx="25">
                  <c:v>43993</c:v>
                </c:pt>
                <c:pt idx="26">
                  <c:v>43998</c:v>
                </c:pt>
              </c:numCache>
            </c:numRef>
          </c:cat>
          <c:val>
            <c:numRef>
              <c:f>model!$AB$7:$AB$33</c:f>
              <c:numCache>
                <c:formatCode>#,##0</c:formatCode>
                <c:ptCount val="27"/>
                <c:pt idx="0">
                  <c:v>0.2</c:v>
                </c:pt>
                <c:pt idx="1">
                  <c:v>1</c:v>
                </c:pt>
                <c:pt idx="2">
                  <c:v>0.2</c:v>
                </c:pt>
                <c:pt idx="3">
                  <c:v>0</c:v>
                </c:pt>
                <c:pt idx="4">
                  <c:v>0.8</c:v>
                </c:pt>
                <c:pt idx="5">
                  <c:v>5.4</c:v>
                </c:pt>
                <c:pt idx="6">
                  <c:v>33.200000000000003</c:v>
                </c:pt>
                <c:pt idx="7">
                  <c:v>76.8</c:v>
                </c:pt>
                <c:pt idx="8">
                  <c:v>272</c:v>
                </c:pt>
                <c:pt idx="9">
                  <c:v>746.6</c:v>
                </c:pt>
                <c:pt idx="10">
                  <c:v>1772</c:v>
                </c:pt>
                <c:pt idx="11">
                  <c:v>2986.2</c:v>
                </c:pt>
                <c:pt idx="12">
                  <c:v>4426.8</c:v>
                </c:pt>
                <c:pt idx="13">
                  <c:v>5476.6</c:v>
                </c:pt>
                <c:pt idx="14">
                  <c:v>4820.3999999999996</c:v>
                </c:pt>
                <c:pt idx="15">
                  <c:v>5190.2</c:v>
                </c:pt>
                <c:pt idx="16">
                  <c:v>4759.2</c:v>
                </c:pt>
                <c:pt idx="17">
                  <c:v>4922.8</c:v>
                </c:pt>
                <c:pt idx="18">
                  <c:v>4749.3999999999996</c:v>
                </c:pt>
                <c:pt idx="19">
                  <c:v>4371.8</c:v>
                </c:pt>
                <c:pt idx="20">
                  <c:v>3420.2</c:v>
                </c:pt>
                <c:pt idx="21">
                  <c:v>2149.4</c:v>
                </c:pt>
                <c:pt idx="22">
                  <c:v>2863.8</c:v>
                </c:pt>
                <c:pt idx="23">
                  <c:v>1907</c:v>
                </c:pt>
                <c:pt idx="24">
                  <c:v>1709.8</c:v>
                </c:pt>
                <c:pt idx="25">
                  <c:v>1366.4</c:v>
                </c:pt>
                <c:pt idx="26">
                  <c:v>1342.8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87-4F08-858A-AA144275EA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801554280"/>
        <c:axId val="801550344"/>
      </c:barChart>
      <c:dateAx>
        <c:axId val="801554280"/>
        <c:scaling>
          <c:orientation val="minMax"/>
          <c:max val="43998"/>
        </c:scaling>
        <c:delete val="0"/>
        <c:axPos val="b"/>
        <c:numFmt formatCode="mmm\.\ 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01550344"/>
        <c:crosses val="autoZero"/>
        <c:auto val="1"/>
        <c:lblOffset val="100"/>
        <c:baseTimeUnit val="days"/>
      </c:dateAx>
      <c:valAx>
        <c:axId val="8015503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>
                    <a:latin typeface="Arial" panose="020B0604020202020204" pitchFamily="34" charset="0"/>
                    <a:cs typeface="Arial" panose="020B0604020202020204" pitchFamily="34" charset="0"/>
                  </a:rPr>
                  <a:t>Positive</a:t>
                </a:r>
                <a:r>
                  <a:rPr lang="en-US" b="1" baseline="0">
                    <a:latin typeface="Arial" panose="020B0604020202020204" pitchFamily="34" charset="0"/>
                    <a:cs typeface="Arial" panose="020B0604020202020204" pitchFamily="34" charset="0"/>
                  </a:rPr>
                  <a:t> tests/day</a:t>
                </a:r>
                <a:endParaRPr lang="en-US" b="1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01554280"/>
        <c:crosses val="autoZero"/>
        <c:crossBetween val="between"/>
      </c:valAx>
      <c:spPr>
        <a:noFill/>
        <a:ln w="19050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8.4529990701569455E-2"/>
          <c:y val="6.9713113047165778E-2"/>
          <c:w val="0.14820021894141353"/>
          <c:h val="6.67540558941902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257272</xdr:colOff>
      <xdr:row>34</xdr:row>
      <xdr:rowOff>38619</xdr:rowOff>
    </xdr:from>
    <xdr:to>
      <xdr:col>16</xdr:col>
      <xdr:colOff>47271</xdr:colOff>
      <xdr:row>50</xdr:row>
      <xdr:rowOff>46182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2E6AA4-395B-46E6-9A73-3285E4FD2E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256683</xdr:colOff>
      <xdr:row>34</xdr:row>
      <xdr:rowOff>66066</xdr:rowOff>
    </xdr:from>
    <xdr:to>
      <xdr:col>26</xdr:col>
      <xdr:colOff>561882</xdr:colOff>
      <xdr:row>50</xdr:row>
      <xdr:rowOff>101149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C7AF496-B2A9-42FF-A6A4-F117B8CFB0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151686</xdr:colOff>
      <xdr:row>51</xdr:row>
      <xdr:rowOff>37474</xdr:rowOff>
    </xdr:from>
    <xdr:to>
      <xdr:col>16</xdr:col>
      <xdr:colOff>58308</xdr:colOff>
      <xdr:row>64</xdr:row>
      <xdr:rowOff>153940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14B9B2D-1B77-459E-A8AD-A53DC46C8B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394877</xdr:colOff>
      <xdr:row>51</xdr:row>
      <xdr:rowOff>94461</xdr:rowOff>
    </xdr:from>
    <xdr:to>
      <xdr:col>26</xdr:col>
      <xdr:colOff>546410</xdr:colOff>
      <xdr:row>66</xdr:row>
      <xdr:rowOff>120973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43DBED6-C0B0-4B80-98EF-E352550878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220024</xdr:colOff>
      <xdr:row>65</xdr:row>
      <xdr:rowOff>154952</xdr:rowOff>
    </xdr:from>
    <xdr:to>
      <xdr:col>16</xdr:col>
      <xdr:colOff>75883</xdr:colOff>
      <xdr:row>80</xdr:row>
      <xdr:rowOff>161636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816E001-6DDB-4CF3-81F9-FEEAD7FB56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7DCFF-1825-AB42-81B6-C713740CE9C0}">
  <dimension ref="A1:BV78"/>
  <sheetViews>
    <sheetView tabSelected="1" zoomScaleNormal="100" workbookViewId="0">
      <pane xSplit="3" ySplit="4" topLeftCell="E5" activePane="bottomRight" state="frozen"/>
      <selection activeCell="B11" sqref="B11"/>
      <selection pane="topRight" activeCell="B11" sqref="B11"/>
      <selection pane="bottomLeft" activeCell="B11" sqref="B11"/>
      <selection pane="bottomRight" activeCell="AB60" sqref="AB60"/>
    </sheetView>
  </sheetViews>
  <sheetFormatPr defaultColWidth="17.85546875" defaultRowHeight="14.05" customHeight="1" x14ac:dyDescent="0.35"/>
  <cols>
    <col min="1" max="1" width="49.35546875" style="1" customWidth="1"/>
    <col min="2" max="2" width="16.5" style="3" bestFit="1" customWidth="1"/>
    <col min="3" max="3" width="2.640625" style="1" customWidth="1"/>
    <col min="4" max="4" width="11.35546875" style="33" customWidth="1"/>
    <col min="5" max="5" width="10.140625" style="1" customWidth="1"/>
    <col min="6" max="6" width="5.140625" style="4" customWidth="1"/>
    <col min="7" max="7" width="9.140625" style="1" customWidth="1"/>
    <col min="8" max="8" width="10.640625" style="28" customWidth="1"/>
    <col min="9" max="9" width="10.5" style="4" customWidth="1"/>
    <col min="10" max="10" width="10.5" style="51" customWidth="1"/>
    <col min="11" max="11" width="11.5" style="4" customWidth="1"/>
    <col min="12" max="14" width="11.5" style="51" customWidth="1"/>
    <col min="15" max="15" width="5.140625" style="4" customWidth="1"/>
    <col min="16" max="16" width="9.140625" style="1" customWidth="1"/>
    <col min="17" max="17" width="9.140625" style="28" customWidth="1"/>
    <col min="18" max="18" width="11.85546875" style="4" customWidth="1"/>
    <col min="19" max="19" width="11.85546875" style="51" customWidth="1"/>
    <col min="20" max="20" width="11.85546875" style="4" customWidth="1"/>
    <col min="21" max="21" width="5.140625" style="4" customWidth="1"/>
    <col min="22" max="22" width="14.140625" style="4" customWidth="1"/>
    <col min="23" max="23" width="14.140625" style="41" customWidth="1"/>
    <col min="24" max="24" width="14.140625" style="39" customWidth="1"/>
    <col min="25" max="25" width="4.85546875" style="39" customWidth="1"/>
    <col min="26" max="27" width="14.140625" style="39" customWidth="1"/>
    <col min="28" max="28" width="14.140625" style="51" customWidth="1"/>
    <col min="29" max="30" width="14.140625" style="39" customWidth="1"/>
    <col min="31" max="31" width="5.140625" style="4" customWidth="1"/>
    <col min="32" max="33" width="12.78515625" style="51" customWidth="1"/>
    <col min="34" max="34" width="5.140625" style="51" customWidth="1"/>
    <col min="35" max="35" width="11.140625" style="4" customWidth="1"/>
    <col min="36" max="36" width="11.140625" style="51" customWidth="1"/>
    <col min="37" max="37" width="5.140625" style="29" customWidth="1"/>
    <col min="38" max="38" width="8.35546875" style="24" customWidth="1"/>
    <col min="39" max="39" width="14.140625" style="2" customWidth="1"/>
    <col min="40" max="40" width="5.140625" style="4" customWidth="1"/>
    <col min="41" max="43" width="14.35546875" style="4" customWidth="1"/>
    <col min="44" max="44" width="5.140625" style="4" customWidth="1"/>
    <col min="45" max="47" width="17.85546875" style="4" customWidth="1"/>
    <col min="48" max="48" width="5.140625" style="4" customWidth="1"/>
    <col min="49" max="51" width="17.85546875" style="1" customWidth="1"/>
    <col min="52" max="52" width="3.85546875" style="1" customWidth="1"/>
    <col min="53" max="53" width="19.2109375" style="4" customWidth="1"/>
    <col min="54" max="54" width="17.85546875" style="1" customWidth="1"/>
    <col min="55" max="55" width="5.140625" style="4" customWidth="1"/>
    <col min="56" max="58" width="17.85546875" style="1" customWidth="1"/>
    <col min="59" max="59" width="4.92578125" style="1" customWidth="1"/>
    <col min="60" max="62" width="17.85546875" style="1" customWidth="1"/>
    <col min="63" max="63" width="5.140625" style="4" customWidth="1"/>
    <col min="64" max="66" width="17.85546875" style="1" customWidth="1"/>
    <col min="67" max="67" width="5.140625" style="4" customWidth="1"/>
    <col min="68" max="70" width="17.85546875" style="1" customWidth="1"/>
    <col min="71" max="71" width="5.140625" style="4" customWidth="1"/>
    <col min="72" max="72" width="17.85546875" style="1"/>
    <col min="73" max="74" width="17.85546875" style="4"/>
    <col min="75" max="16384" width="17.85546875" style="1"/>
  </cols>
  <sheetData>
    <row r="1" spans="1:74" ht="20.05" customHeight="1" x14ac:dyDescent="0.4">
      <c r="A1" s="6" t="s">
        <v>53</v>
      </c>
    </row>
    <row r="2" spans="1:74" ht="14.05" customHeight="1" x14ac:dyDescent="0.35">
      <c r="A2" s="9" t="s">
        <v>54</v>
      </c>
    </row>
    <row r="3" spans="1:74" ht="14.05" customHeight="1" x14ac:dyDescent="0.45">
      <c r="A3" s="36"/>
      <c r="F3" s="5"/>
      <c r="G3" s="69" t="s">
        <v>64</v>
      </c>
      <c r="H3" s="69"/>
      <c r="I3" s="69"/>
      <c r="J3" s="69"/>
      <c r="K3" s="69"/>
      <c r="L3" s="69"/>
      <c r="M3" s="69"/>
      <c r="N3" s="69"/>
      <c r="O3" s="5"/>
      <c r="P3" s="69" t="s">
        <v>51</v>
      </c>
      <c r="Q3" s="69"/>
      <c r="R3" s="69"/>
      <c r="S3" s="69"/>
      <c r="T3" s="69"/>
      <c r="U3" s="69"/>
      <c r="V3" s="69"/>
      <c r="W3" s="69"/>
      <c r="X3" s="69"/>
      <c r="Y3" s="40"/>
      <c r="Z3" s="68" t="s">
        <v>52</v>
      </c>
      <c r="AA3" s="68"/>
      <c r="AB3" s="68"/>
      <c r="AC3" s="68"/>
      <c r="AD3" s="68"/>
      <c r="AE3" s="5"/>
      <c r="AF3" s="68" t="s">
        <v>62</v>
      </c>
      <c r="AG3" s="68"/>
      <c r="AH3" s="53"/>
      <c r="AI3" s="68" t="s">
        <v>13</v>
      </c>
      <c r="AJ3" s="73"/>
      <c r="AK3" s="30"/>
      <c r="AL3" s="25"/>
      <c r="AN3" s="5"/>
      <c r="AO3" s="70" t="s">
        <v>14</v>
      </c>
      <c r="AP3" s="72"/>
      <c r="AQ3" s="72"/>
      <c r="AR3" s="5"/>
      <c r="AS3" s="70" t="s">
        <v>30</v>
      </c>
      <c r="AT3" s="72"/>
      <c r="AU3" s="72"/>
      <c r="AV3" s="5"/>
      <c r="AW3" s="70" t="s">
        <v>15</v>
      </c>
      <c r="AX3" s="72"/>
      <c r="AY3" s="72"/>
      <c r="AZ3" s="40"/>
      <c r="BA3" s="5"/>
      <c r="BC3" s="5"/>
      <c r="BD3" s="70" t="s">
        <v>16</v>
      </c>
      <c r="BE3" s="71"/>
      <c r="BF3" s="71"/>
      <c r="BG3" s="52"/>
      <c r="BH3" s="70" t="s">
        <v>59</v>
      </c>
      <c r="BI3" s="71"/>
      <c r="BJ3" s="71"/>
      <c r="BK3" s="5"/>
      <c r="BL3" s="70" t="s">
        <v>17</v>
      </c>
      <c r="BM3" s="71"/>
      <c r="BN3" s="71"/>
      <c r="BO3" s="5"/>
      <c r="BP3" s="70" t="s">
        <v>18</v>
      </c>
      <c r="BQ3" s="71"/>
      <c r="BR3" s="71"/>
      <c r="BS3" s="5"/>
    </row>
    <row r="4" spans="1:74" s="9" customFormat="1" ht="61" customHeight="1" x14ac:dyDescent="0.3">
      <c r="A4" s="7" t="s">
        <v>0</v>
      </c>
      <c r="B4" s="8"/>
      <c r="D4" s="34" t="s">
        <v>32</v>
      </c>
      <c r="E4" s="10" t="s">
        <v>10</v>
      </c>
      <c r="F4" s="11"/>
      <c r="G4" s="12" t="s">
        <v>40</v>
      </c>
      <c r="H4" s="26" t="s">
        <v>22</v>
      </c>
      <c r="I4" s="12" t="s">
        <v>23</v>
      </c>
      <c r="J4" s="12" t="s">
        <v>76</v>
      </c>
      <c r="K4" s="12" t="s">
        <v>24</v>
      </c>
      <c r="L4" s="12" t="s">
        <v>62</v>
      </c>
      <c r="M4" s="12" t="s">
        <v>79</v>
      </c>
      <c r="N4" s="12" t="s">
        <v>63</v>
      </c>
      <c r="O4" s="11"/>
      <c r="P4" s="12" t="s">
        <v>41</v>
      </c>
      <c r="Q4" s="26" t="s">
        <v>22</v>
      </c>
      <c r="R4" s="12" t="s">
        <v>25</v>
      </c>
      <c r="S4" s="12" t="s">
        <v>77</v>
      </c>
      <c r="T4" s="12" t="s">
        <v>26</v>
      </c>
      <c r="U4" s="11"/>
      <c r="V4" s="12" t="s">
        <v>56</v>
      </c>
      <c r="W4" s="26" t="s">
        <v>57</v>
      </c>
      <c r="X4" s="47" t="s">
        <v>19</v>
      </c>
      <c r="Y4" s="12"/>
      <c r="Z4" s="12" t="s">
        <v>41</v>
      </c>
      <c r="AA4" s="12" t="s">
        <v>25</v>
      </c>
      <c r="AB4" s="12" t="s">
        <v>77</v>
      </c>
      <c r="AC4" s="12" t="s">
        <v>26</v>
      </c>
      <c r="AD4" s="44" t="s">
        <v>19</v>
      </c>
      <c r="AE4" s="11"/>
      <c r="AF4" s="12" t="s">
        <v>67</v>
      </c>
      <c r="AG4" s="12" t="s">
        <v>80</v>
      </c>
      <c r="AH4" s="11"/>
      <c r="AI4" s="12" t="s">
        <v>31</v>
      </c>
      <c r="AJ4" s="12" t="s">
        <v>78</v>
      </c>
      <c r="AK4" s="31"/>
      <c r="AL4" s="26" t="s">
        <v>21</v>
      </c>
      <c r="AM4" s="13" t="s">
        <v>6</v>
      </c>
      <c r="AN4" s="11"/>
      <c r="AO4" s="14" t="s">
        <v>11</v>
      </c>
      <c r="AP4" s="14" t="s">
        <v>12</v>
      </c>
      <c r="AQ4" s="14" t="s">
        <v>7</v>
      </c>
      <c r="AR4" s="11"/>
      <c r="AS4" s="14" t="s">
        <v>11</v>
      </c>
      <c r="AT4" s="14" t="s">
        <v>12</v>
      </c>
      <c r="AU4" s="14" t="s">
        <v>7</v>
      </c>
      <c r="AV4" s="11"/>
      <c r="AW4" s="14" t="s">
        <v>11</v>
      </c>
      <c r="AX4" s="14" t="s">
        <v>12</v>
      </c>
      <c r="AY4" s="14" t="s">
        <v>7</v>
      </c>
      <c r="AZ4" s="14"/>
      <c r="BA4" s="14" t="s">
        <v>50</v>
      </c>
      <c r="BB4" s="14" t="s">
        <v>8</v>
      </c>
      <c r="BC4" s="11"/>
      <c r="BD4" s="14" t="s">
        <v>11</v>
      </c>
      <c r="BE4" s="14" t="s">
        <v>12</v>
      </c>
      <c r="BF4" s="14" t="s">
        <v>7</v>
      </c>
      <c r="BG4" s="14"/>
      <c r="BH4" s="14" t="s">
        <v>11</v>
      </c>
      <c r="BI4" s="14" t="s">
        <v>12</v>
      </c>
      <c r="BJ4" s="14" t="s">
        <v>7</v>
      </c>
      <c r="BK4" s="11"/>
      <c r="BL4" s="14" t="s">
        <v>11</v>
      </c>
      <c r="BM4" s="14" t="s">
        <v>12</v>
      </c>
      <c r="BN4" s="14" t="s">
        <v>7</v>
      </c>
      <c r="BO4" s="11"/>
      <c r="BP4" s="14" t="s">
        <v>11</v>
      </c>
      <c r="BQ4" s="14" t="s">
        <v>12</v>
      </c>
      <c r="BR4" s="14" t="s">
        <v>7</v>
      </c>
      <c r="BS4" s="11"/>
      <c r="BT4" s="14" t="s">
        <v>20</v>
      </c>
      <c r="BU4" s="14" t="s">
        <v>44</v>
      </c>
      <c r="BV4" s="14" t="s">
        <v>9</v>
      </c>
    </row>
    <row r="5" spans="1:74" s="9" customFormat="1" ht="13" customHeight="1" x14ac:dyDescent="0.3">
      <c r="A5" s="15" t="s">
        <v>42</v>
      </c>
      <c r="B5" s="50">
        <v>3</v>
      </c>
      <c r="D5" s="35">
        <v>0</v>
      </c>
      <c r="E5" s="38">
        <f>Zero_date</f>
        <v>43858</v>
      </c>
      <c r="F5" s="16"/>
      <c r="G5" s="43" t="str">
        <f>IF(OR(I5&lt;10,ISBLANK(I6)),"",I6/I5)</f>
        <v/>
      </c>
      <c r="H5" s="37">
        <f t="shared" ref="H5:H32" si="0">IF(IF(OR(K5=0,ISBLANK(K6)),"",K6/K5)="","",IF(IF(OR(K5=0,ISBLANK(K6)),"",K6/K5)&lt;=1,"∞",Serial*(LN(2)/LN(IF(OR(K5=0,ISBLANK(K6)),"",K6/K5)))))</f>
        <v>2.5000000422840216</v>
      </c>
      <c r="I5" s="16">
        <f>Initial_cases</f>
        <v>1.45</v>
      </c>
      <c r="J5" s="16">
        <f t="shared" ref="J5:J33" si="1">I5/Serial</f>
        <v>0.28999999999999998</v>
      </c>
      <c r="K5" s="16">
        <f>SUM(I$5:I5)</f>
        <v>1.45</v>
      </c>
      <c r="L5" s="16">
        <f t="shared" ref="L5:L32" ca="1" si="2">IF(ISERROR(SUM(OFFSET(I5,-Spread,0,Spread))*(1/Spread)*Pct_fatal),0,SUM(OFFSET(I5,-Spread,0,Spread))*(1/Spread)*Pct_fatal)</f>
        <v>0</v>
      </c>
      <c r="M5" s="16">
        <f t="shared" ref="M5:M33" ca="1" si="3">L5/Serial</f>
        <v>0</v>
      </c>
      <c r="N5" s="16">
        <f ca="1">SUM(L$5:L5)</f>
        <v>0</v>
      </c>
      <c r="O5" s="16"/>
      <c r="P5" s="27" t="str">
        <f ca="1">IF(OR(R5&lt;10,ISBLANK(R6)),"",R6/R5)</f>
        <v/>
      </c>
      <c r="Q5" s="37" t="str">
        <f t="shared" ref="Q5:Q32" ca="1" si="4">IF(IF(OR(T5=0,ISBLANK(T6)),"",T6/T5)="","",IF(IF(OR(T5=0,ISBLANK(T6)),"",T6/T5)&lt;=1,"∞",Serial*(LN(2)/LN(IF(OR(T5=0,ISBLANK(T6)),"",T6/T5)))))</f>
        <v/>
      </c>
      <c r="R5" s="16">
        <f t="shared" ref="R5:R32" ca="1" si="5">IF(ISERROR(OFFSET(BT5,-Delay,0)*1),0,OFFSET(BT5,-Delay,0))</f>
        <v>0</v>
      </c>
      <c r="S5" s="16">
        <f t="shared" ref="S5:S33" ca="1" si="6">R5/Serial</f>
        <v>0</v>
      </c>
      <c r="T5" s="16">
        <f ca="1">SUM(R$5:R5)</f>
        <v>0</v>
      </c>
      <c r="U5" s="16"/>
      <c r="V5" s="17">
        <f t="shared" ref="V5:V32" ca="1" si="7">T5/K5</f>
        <v>0</v>
      </c>
      <c r="W5" s="46">
        <f ca="1">R5/I5</f>
        <v>0</v>
      </c>
      <c r="X5" s="48">
        <f t="shared" ref="X5:X32" ca="1" si="8">IF(AI5=0,"",R5/AI5)</f>
        <v>0</v>
      </c>
      <c r="Y5" s="17"/>
      <c r="Z5" s="27" t="str">
        <f>IF(OR(AA5&lt;10,ISBLANK(AA6)),"",AA6/AA5)</f>
        <v/>
      </c>
      <c r="AA5" s="16">
        <f>BA5</f>
        <v>0</v>
      </c>
      <c r="AB5" s="16">
        <f t="shared" ref="AB5:AB33" si="9">AA5/Serial</f>
        <v>0</v>
      </c>
      <c r="AC5" s="16">
        <f>SUM(AA$5:AA5)</f>
        <v>0</v>
      </c>
      <c r="AD5" s="67">
        <f t="shared" ref="AD5:AD32" si="10">IF(AI5=0,"",AA5/AI5)</f>
        <v>0</v>
      </c>
      <c r="AE5" s="16"/>
      <c r="AF5" s="16">
        <f>VLOOKUP($E5,data!$A$2:$G$144,7)</f>
        <v>0</v>
      </c>
      <c r="AG5" s="16">
        <f t="shared" ref="AG5:AG33" si="11">AF5/Serial</f>
        <v>0</v>
      </c>
      <c r="AH5" s="16"/>
      <c r="AI5" s="42">
        <f>VLOOKUP($E5,data!$A$2:$E$144,5)</f>
        <v>66</v>
      </c>
      <c r="AJ5" s="42">
        <f t="shared" ref="AJ5:AJ33" si="12">AI5/Serial</f>
        <v>13.2</v>
      </c>
      <c r="AK5" s="32"/>
      <c r="AL5" s="56">
        <f t="shared" ref="AL5:AL32" si="13">IF(AND(D5&gt;=Begin_lockdown,Begin_lockdown&lt;&gt;""),Ro_lockdown,IF(AND(D5&gt;=Begin_intermediate,Begin_intermediate&lt;&gt;""),Ro_intermediate,Ro_uncontrolled))</f>
        <v>3</v>
      </c>
      <c r="AM5" s="16">
        <f t="shared" ref="AM5:AM32" si="14">Population-K5</f>
        <v>65999998.549999997</v>
      </c>
      <c r="AN5" s="16"/>
      <c r="AO5" s="16">
        <f t="shared" ref="AO5:AO32" si="15">ROUND(I5*(1-Pct_asy-Pct_mild),0)</f>
        <v>0</v>
      </c>
      <c r="AP5" s="16">
        <f t="shared" ref="AP5:AP32" si="16">ROUND(I5*Pct_mild,0)</f>
        <v>1</v>
      </c>
      <c r="AQ5" s="16">
        <f t="shared" ref="AQ5:AQ32" si="17">I5-AO5-AP5</f>
        <v>0.44999999999999996</v>
      </c>
      <c r="AR5" s="16"/>
      <c r="AS5" s="16">
        <f t="shared" ref="AS5:AS32" si="18">ROUND((Population-SUM(AO5:AQ5))*(Faux_severe),0)+AO5</f>
        <v>66000</v>
      </c>
      <c r="AT5" s="16">
        <f t="shared" ref="AT5:AT32" si="19">ROUND((Population-SUM(AO5:AQ5))*(Faux_mild),0)+AP5</f>
        <v>1650001</v>
      </c>
      <c r="AU5" s="16">
        <f t="shared" ref="AU5:AU32" si="20">Population-AS5-AT5</f>
        <v>64283999</v>
      </c>
      <c r="AV5" s="16"/>
      <c r="AW5" s="16">
        <f>ROUND(AS5*Desire_severe,0)</f>
        <v>66000</v>
      </c>
      <c r="AX5" s="16">
        <f>ROUND(AT5*Desire_mild,0)</f>
        <v>825001</v>
      </c>
      <c r="AY5" s="16">
        <f t="shared" ref="AY5" si="21">ROUND(AU5*Desire_asy,0)</f>
        <v>1285680</v>
      </c>
      <c r="AZ5" s="16"/>
      <c r="BA5" s="16"/>
      <c r="BB5" s="42">
        <f t="shared" ref="BB5:BB32" ca="1" si="22">IF(ISERROR(0+OFFSET(AI5,Delay,0)),0,OFFSET(AI5,Delay,0))</f>
        <v>169</v>
      </c>
      <c r="BC5" s="16"/>
      <c r="BD5" s="16">
        <f t="shared" ref="BD5:BD32" ca="1" si="23">MIN(BB5,AW5)</f>
        <v>169</v>
      </c>
      <c r="BE5" s="16">
        <f t="shared" ref="BE5:BE32" ca="1" si="24">MIN(AX5,BB5-BD5)</f>
        <v>0</v>
      </c>
      <c r="BF5" s="16">
        <f t="shared" ref="BF5:BF32" ca="1" si="25">MIN(AY5,BB5-BD5-BE5)</f>
        <v>0</v>
      </c>
      <c r="BG5" s="16"/>
      <c r="BH5" s="16">
        <f t="shared" ref="BH5:BH32" ca="1" si="26">AW5-BD5</f>
        <v>65831</v>
      </c>
      <c r="BI5" s="16">
        <f t="shared" ref="BI5:BI32" ca="1" si="27">AX5-BE5</f>
        <v>825001</v>
      </c>
      <c r="BJ5" s="16">
        <f t="shared" ref="BJ5:BJ32" ca="1" si="28">AY5-BF5</f>
        <v>1285680</v>
      </c>
      <c r="BK5" s="16"/>
      <c r="BL5" s="18">
        <f t="shared" ref="BL5:BL32" si="29">AO5/AS5</f>
        <v>0</v>
      </c>
      <c r="BM5" s="18">
        <f t="shared" ref="BM5:BM32" si="30">AP5/AT5</f>
        <v>6.060602387513704E-7</v>
      </c>
      <c r="BN5" s="18">
        <f t="shared" ref="BN5:BN32" si="31">AQ5/AU5</f>
        <v>7.0001867805392747E-9</v>
      </c>
      <c r="BO5" s="16"/>
      <c r="BP5" s="16">
        <f t="shared" ref="BP5:BP32" ca="1" si="32">ROUND(BD5*BL5*(1-False_negative),0)+ROUND(BD5*(1-BL5)*(False_positive),0)</f>
        <v>1</v>
      </c>
      <c r="BQ5" s="16">
        <f t="shared" ref="BQ5:BQ32" ca="1" si="33">ROUND(BE5*BM5*(1-False_negative),0)+ROUND(BE5*(1-BM5)*(False_positive),0)</f>
        <v>0</v>
      </c>
      <c r="BR5" s="16">
        <f t="shared" ref="BR5:BR32" ca="1" si="34">ROUND(BF5*BN5*(1-False_negative),0)+ROUND(BF5*(1-BN5)*(False_positive),0)</f>
        <v>0</v>
      </c>
      <c r="BS5" s="16"/>
      <c r="BT5" s="16">
        <f ca="1">BP5+BQ5+BR5</f>
        <v>1</v>
      </c>
      <c r="BU5" s="19"/>
      <c r="BV5" s="19"/>
    </row>
    <row r="6" spans="1:74" s="9" customFormat="1" ht="13" customHeight="1" x14ac:dyDescent="0.3">
      <c r="A6" s="15" t="s">
        <v>43</v>
      </c>
      <c r="B6" s="50">
        <v>1.8</v>
      </c>
      <c r="D6" s="35">
        <f>D5+1</f>
        <v>1</v>
      </c>
      <c r="E6" s="38">
        <f t="shared" ref="E6:E33" si="35">E5+Serial</f>
        <v>43863</v>
      </c>
      <c r="F6" s="16"/>
      <c r="G6" s="43" t="str">
        <f t="shared" ref="G6:G32" si="36">IF(OR(I6&lt;10,ISBLANK(I7)),"",I7/I6)</f>
        <v/>
      </c>
      <c r="H6" s="37">
        <f t="shared" si="0"/>
        <v>2.9404162053534972</v>
      </c>
      <c r="I6" s="16">
        <f t="shared" ref="I6:I32" si="37">AM5*(1-(1-((AL5)/Population))^I5)</f>
        <v>4.3499998640060102</v>
      </c>
      <c r="J6" s="16">
        <f t="shared" si="1"/>
        <v>0.869999972801202</v>
      </c>
      <c r="K6" s="16">
        <f>SUM(I$5:I6)</f>
        <v>5.7999998640060104</v>
      </c>
      <c r="L6" s="16">
        <f t="shared" ca="1" si="2"/>
        <v>4.3499999999999997E-3</v>
      </c>
      <c r="M6" s="16">
        <f t="shared" ca="1" si="3"/>
        <v>8.699999999999999E-4</v>
      </c>
      <c r="N6" s="16">
        <f ca="1">SUM(L$5:L6)</f>
        <v>4.3499999999999997E-3</v>
      </c>
      <c r="O6" s="16"/>
      <c r="P6" s="27" t="str">
        <f t="shared" ref="P6:P32" ca="1" si="38">IF(OR(R6&lt;10,ISBLANK(R7)),"",R7/R6)</f>
        <v/>
      </c>
      <c r="Q6" s="37">
        <f t="shared" ca="1" si="4"/>
        <v>3.154648767857287</v>
      </c>
      <c r="R6" s="16">
        <f t="shared" ca="1" si="5"/>
        <v>1</v>
      </c>
      <c r="S6" s="16">
        <f t="shared" ca="1" si="6"/>
        <v>0.2</v>
      </c>
      <c r="T6" s="16">
        <f ca="1">SUM(R$5:R6)</f>
        <v>1</v>
      </c>
      <c r="U6" s="16"/>
      <c r="V6" s="17">
        <f t="shared" ca="1" si="7"/>
        <v>0.17241379714607588</v>
      </c>
      <c r="W6" s="46">
        <f t="shared" ref="W6:W32" ca="1" si="39">R6/I6</f>
        <v>0.22988506465815797</v>
      </c>
      <c r="X6" s="48">
        <f t="shared" ca="1" si="8"/>
        <v>5.9171597633136093E-3</v>
      </c>
      <c r="Y6" s="17"/>
      <c r="Z6" s="27" t="str">
        <f t="shared" ref="Z6:Z32" si="40">IF(OR(AA6&lt;10,ISBLANK(AA7)),"",AA7/AA6)</f>
        <v/>
      </c>
      <c r="AA6" s="16">
        <f t="shared" ref="AA6:AA32" si="41">BA6</f>
        <v>0</v>
      </c>
      <c r="AB6" s="16">
        <f t="shared" si="9"/>
        <v>0</v>
      </c>
      <c r="AC6" s="16">
        <f>SUM(AA$5:AA6)</f>
        <v>0</v>
      </c>
      <c r="AD6" s="67">
        <f t="shared" si="10"/>
        <v>0</v>
      </c>
      <c r="AE6" s="16"/>
      <c r="AF6" s="16">
        <f>VLOOKUP($E6,data!$A$2:$G$144,7)</f>
        <v>0</v>
      </c>
      <c r="AG6" s="16">
        <f t="shared" si="11"/>
        <v>0</v>
      </c>
      <c r="AH6" s="16"/>
      <c r="AI6" s="42">
        <f>VLOOKUP($E6,data!$A$2:$E$144,5)</f>
        <v>169</v>
      </c>
      <c r="AJ6" s="42">
        <f t="shared" si="12"/>
        <v>33.799999999999997</v>
      </c>
      <c r="AK6" s="32"/>
      <c r="AL6" s="56">
        <f t="shared" si="13"/>
        <v>3</v>
      </c>
      <c r="AM6" s="16">
        <f t="shared" si="14"/>
        <v>65999994.200000137</v>
      </c>
      <c r="AN6" s="16"/>
      <c r="AO6" s="16">
        <f t="shared" si="15"/>
        <v>0</v>
      </c>
      <c r="AP6" s="16">
        <f t="shared" si="16"/>
        <v>3</v>
      </c>
      <c r="AQ6" s="16">
        <f t="shared" si="17"/>
        <v>1.3499998640060102</v>
      </c>
      <c r="AR6" s="16"/>
      <c r="AS6" s="16">
        <f t="shared" si="18"/>
        <v>66000</v>
      </c>
      <c r="AT6" s="16">
        <f t="shared" si="19"/>
        <v>1650003</v>
      </c>
      <c r="AU6" s="16">
        <f t="shared" si="20"/>
        <v>64283997</v>
      </c>
      <c r="AV6" s="16"/>
      <c r="AW6" s="16">
        <f ca="1">ROUND(AS6*Desire_severe*(1-SUM($BD$5:$BF5)/Population),0)</f>
        <v>66000</v>
      </c>
      <c r="AX6" s="16">
        <f ca="1">ROUND(AT6*Desire_mild*(1-SUM($BD$5:$BF5)/Population),0)</f>
        <v>824999</v>
      </c>
      <c r="AY6" s="16">
        <f ca="1">ROUND(AU6*Desire_asy*(1-SUM($BD$5:$BF5)/Population),0)</f>
        <v>1285677</v>
      </c>
      <c r="AZ6" s="16"/>
      <c r="BA6" s="16"/>
      <c r="BB6" s="42">
        <f t="shared" ca="1" si="22"/>
        <v>354</v>
      </c>
      <c r="BC6" s="16"/>
      <c r="BD6" s="16">
        <f t="shared" ca="1" si="23"/>
        <v>354</v>
      </c>
      <c r="BE6" s="16">
        <f t="shared" ca="1" si="24"/>
        <v>0</v>
      </c>
      <c r="BF6" s="16">
        <f t="shared" ca="1" si="25"/>
        <v>0</v>
      </c>
      <c r="BG6" s="16"/>
      <c r="BH6" s="16">
        <f t="shared" ca="1" si="26"/>
        <v>65646</v>
      </c>
      <c r="BI6" s="16">
        <f t="shared" ca="1" si="27"/>
        <v>824999</v>
      </c>
      <c r="BJ6" s="16">
        <f t="shared" ca="1" si="28"/>
        <v>1285677</v>
      </c>
      <c r="BK6" s="16"/>
      <c r="BL6" s="18">
        <f t="shared" si="29"/>
        <v>0</v>
      </c>
      <c r="BM6" s="18">
        <f t="shared" si="30"/>
        <v>1.8181785124027047E-6</v>
      </c>
      <c r="BN6" s="18">
        <f t="shared" si="31"/>
        <v>2.1000558879467472E-8</v>
      </c>
      <c r="BO6" s="16"/>
      <c r="BP6" s="16">
        <f t="shared" ca="1" si="32"/>
        <v>2</v>
      </c>
      <c r="BQ6" s="16">
        <f t="shared" ca="1" si="33"/>
        <v>0</v>
      </c>
      <c r="BR6" s="16">
        <f t="shared" ca="1" si="34"/>
        <v>0</v>
      </c>
      <c r="BS6" s="16"/>
      <c r="BT6" s="16">
        <f t="shared" ref="BT6:BT32" ca="1" si="42">BP6+BQ6+BR6</f>
        <v>2</v>
      </c>
      <c r="BU6" s="19">
        <f ca="1">IF(BT5=0,"",BT6/BT5)</f>
        <v>2</v>
      </c>
      <c r="BV6" s="19"/>
    </row>
    <row r="7" spans="1:74" s="9" customFormat="1" ht="13" customHeight="1" x14ac:dyDescent="0.3">
      <c r="A7" s="15" t="s">
        <v>58</v>
      </c>
      <c r="B7" s="50">
        <v>0.85</v>
      </c>
      <c r="D7" s="35">
        <f t="shared" ref="D7:D33" si="43">D6+1</f>
        <v>2</v>
      </c>
      <c r="E7" s="38">
        <f t="shared" si="35"/>
        <v>43868</v>
      </c>
      <c r="F7" s="16"/>
      <c r="G7" s="43">
        <f t="shared" si="36"/>
        <v>2.9999983220155984</v>
      </c>
      <c r="H7" s="37">
        <f t="shared" si="0"/>
        <v>3.0835878379865198</v>
      </c>
      <c r="I7" s="16">
        <f t="shared" si="37"/>
        <v>13.049997456924419</v>
      </c>
      <c r="J7" s="16">
        <f t="shared" si="1"/>
        <v>2.6099994913848841</v>
      </c>
      <c r="K7" s="16">
        <f>SUM(I$5:I7)</f>
        <v>18.849997320930431</v>
      </c>
      <c r="L7" s="16">
        <f t="shared" ca="1" si="2"/>
        <v>1.7399999592018031E-2</v>
      </c>
      <c r="M7" s="16">
        <f t="shared" ca="1" si="3"/>
        <v>3.4799999184036063E-3</v>
      </c>
      <c r="N7" s="16">
        <f ca="1">SUM(L$5:L7)</f>
        <v>2.1749999592018031E-2</v>
      </c>
      <c r="O7" s="16"/>
      <c r="P7" s="27" t="str">
        <f t="shared" ca="1" si="38"/>
        <v/>
      </c>
      <c r="Q7" s="37">
        <f t="shared" ca="1" si="4"/>
        <v>3.154648767857287</v>
      </c>
      <c r="R7" s="16">
        <f t="shared" ca="1" si="5"/>
        <v>2</v>
      </c>
      <c r="S7" s="16">
        <f t="shared" ca="1" si="6"/>
        <v>0.4</v>
      </c>
      <c r="T7" s="16">
        <f ca="1">SUM(R$5:R7)</f>
        <v>3</v>
      </c>
      <c r="U7" s="16"/>
      <c r="V7" s="17">
        <f t="shared" ca="1" si="7"/>
        <v>0.15915121625343132</v>
      </c>
      <c r="W7" s="46">
        <f t="shared" ca="1" si="39"/>
        <v>0.15325673484624214</v>
      </c>
      <c r="X7" s="48">
        <f t="shared" ca="1" si="8"/>
        <v>5.6497175141242938E-3</v>
      </c>
      <c r="Y7" s="17"/>
      <c r="Z7" s="27" t="str">
        <f t="shared" si="40"/>
        <v/>
      </c>
      <c r="AA7" s="16">
        <f t="shared" si="41"/>
        <v>1</v>
      </c>
      <c r="AB7" s="16">
        <f t="shared" si="9"/>
        <v>0.2</v>
      </c>
      <c r="AC7" s="16">
        <f>SUM(AA$5:AA7)</f>
        <v>1</v>
      </c>
      <c r="AD7" s="67">
        <f t="shared" si="10"/>
        <v>2.8248587570621469E-3</v>
      </c>
      <c r="AE7" s="16"/>
      <c r="AF7" s="16">
        <f>VLOOKUP($E7,data!$A$2:$G$144,7)</f>
        <v>0</v>
      </c>
      <c r="AG7" s="16">
        <f t="shared" si="11"/>
        <v>0</v>
      </c>
      <c r="AH7" s="16"/>
      <c r="AI7" s="42">
        <f>VLOOKUP($E7,data!$A$2:$E$144,5)</f>
        <v>354</v>
      </c>
      <c r="AJ7" s="42">
        <f t="shared" si="12"/>
        <v>70.8</v>
      </c>
      <c r="AK7" s="32"/>
      <c r="AL7" s="56">
        <f t="shared" si="13"/>
        <v>3</v>
      </c>
      <c r="AM7" s="16">
        <f t="shared" si="14"/>
        <v>65999981.150002681</v>
      </c>
      <c r="AN7" s="16"/>
      <c r="AO7" s="16">
        <f t="shared" si="15"/>
        <v>1</v>
      </c>
      <c r="AP7" s="16">
        <f t="shared" si="16"/>
        <v>8</v>
      </c>
      <c r="AQ7" s="16">
        <f t="shared" si="17"/>
        <v>4.0499974569244195</v>
      </c>
      <c r="AR7" s="16"/>
      <c r="AS7" s="16">
        <f t="shared" si="18"/>
        <v>66001</v>
      </c>
      <c r="AT7" s="16">
        <f t="shared" si="19"/>
        <v>1650008</v>
      </c>
      <c r="AU7" s="16">
        <f t="shared" si="20"/>
        <v>64283991</v>
      </c>
      <c r="AV7" s="16"/>
      <c r="AW7" s="16">
        <f ca="1">ROUND(AS7*Desire_severe*(1-SUM($BD$5:$BF6)/Population),0)</f>
        <v>66000</v>
      </c>
      <c r="AX7" s="16">
        <f ca="1">ROUND(AT7*Desire_mild*(1-SUM($BD$5:$BF6)/Population),0)</f>
        <v>824997</v>
      </c>
      <c r="AY7" s="16">
        <f ca="1">ROUND(AU7*Desire_asy*(1-SUM($BD$5:$BF6)/Population),0)</f>
        <v>1285670</v>
      </c>
      <c r="AZ7" s="16"/>
      <c r="BA7" s="42">
        <f>VLOOKUP($E7,data!$A$2:$F$144,6)</f>
        <v>1</v>
      </c>
      <c r="BB7" s="42">
        <f t="shared" ca="1" si="22"/>
        <v>1138</v>
      </c>
      <c r="BC7" s="16"/>
      <c r="BD7" s="16">
        <f t="shared" ca="1" si="23"/>
        <v>1138</v>
      </c>
      <c r="BE7" s="16">
        <f t="shared" ca="1" si="24"/>
        <v>0</v>
      </c>
      <c r="BF7" s="16">
        <f t="shared" ca="1" si="25"/>
        <v>0</v>
      </c>
      <c r="BG7" s="16"/>
      <c r="BH7" s="16">
        <f t="shared" ca="1" si="26"/>
        <v>64862</v>
      </c>
      <c r="BI7" s="16">
        <f t="shared" ca="1" si="27"/>
        <v>824997</v>
      </c>
      <c r="BJ7" s="16">
        <f t="shared" ca="1" si="28"/>
        <v>1285670</v>
      </c>
      <c r="BK7" s="16"/>
      <c r="BL7" s="18">
        <f t="shared" si="29"/>
        <v>1.5151285586582021E-5</v>
      </c>
      <c r="BM7" s="18">
        <f t="shared" si="30"/>
        <v>4.848461340793499E-6</v>
      </c>
      <c r="BN7" s="18">
        <f t="shared" si="31"/>
        <v>6.3001649305258903E-8</v>
      </c>
      <c r="BO7" s="16"/>
      <c r="BP7" s="16">
        <f t="shared" ca="1" si="32"/>
        <v>6</v>
      </c>
      <c r="BQ7" s="16">
        <f t="shared" ca="1" si="33"/>
        <v>0</v>
      </c>
      <c r="BR7" s="16">
        <f t="shared" ca="1" si="34"/>
        <v>0</v>
      </c>
      <c r="BS7" s="16"/>
      <c r="BT7" s="16">
        <f t="shared" ca="1" si="42"/>
        <v>6</v>
      </c>
      <c r="BU7" s="20">
        <f t="shared" ref="BU7:BU32" ca="1" si="44">IF(BT6=0,"",BT7/BT6)</f>
        <v>3</v>
      </c>
      <c r="BV7" s="17">
        <f ca="1">BT7/SUM(BD7:BF7)</f>
        <v>5.272407732864675E-3</v>
      </c>
    </row>
    <row r="8" spans="1:74" s="9" customFormat="1" ht="13" customHeight="1" x14ac:dyDescent="0.3">
      <c r="A8" s="15"/>
      <c r="B8" s="58"/>
      <c r="D8" s="35">
        <f t="shared" si="43"/>
        <v>3</v>
      </c>
      <c r="E8" s="38">
        <f t="shared" si="35"/>
        <v>43873</v>
      </c>
      <c r="F8" s="16"/>
      <c r="G8" s="43">
        <f t="shared" si="36"/>
        <v>2.9999947629745951</v>
      </c>
      <c r="H8" s="37">
        <f t="shared" si="0"/>
        <v>3.1310012206674638</v>
      </c>
      <c r="I8" s="16">
        <f t="shared" si="37"/>
        <v>39.149970473081083</v>
      </c>
      <c r="J8" s="16">
        <f t="shared" si="1"/>
        <v>7.8299940946162163</v>
      </c>
      <c r="K8" s="16">
        <f>SUM(I$5:I8)</f>
        <v>57.999967794011511</v>
      </c>
      <c r="L8" s="16">
        <f t="shared" ca="1" si="2"/>
        <v>5.6549991962791292E-2</v>
      </c>
      <c r="M8" s="16">
        <f t="shared" ca="1" si="3"/>
        <v>1.1309998392558258E-2</v>
      </c>
      <c r="N8" s="16">
        <f ca="1">SUM(L$5:L8)</f>
        <v>7.8299991554809323E-2</v>
      </c>
      <c r="O8" s="16"/>
      <c r="P8" s="27" t="str">
        <f t="shared" ca="1" si="38"/>
        <v/>
      </c>
      <c r="Q8" s="37">
        <f t="shared" ca="1" si="4"/>
        <v>3.6937525848082369</v>
      </c>
      <c r="R8" s="16">
        <f t="shared" ca="1" si="5"/>
        <v>6</v>
      </c>
      <c r="S8" s="16">
        <f t="shared" ca="1" si="6"/>
        <v>1.2</v>
      </c>
      <c r="T8" s="16">
        <f ca="1">SUM(R$5:R8)</f>
        <v>9</v>
      </c>
      <c r="U8" s="16"/>
      <c r="V8" s="17">
        <f t="shared" ca="1" si="7"/>
        <v>0.15517249995661633</v>
      </c>
      <c r="W8" s="46">
        <f t="shared" ca="1" si="39"/>
        <v>0.15325682056709361</v>
      </c>
      <c r="X8" s="48">
        <f t="shared" ca="1" si="8"/>
        <v>5.272407732864675E-3</v>
      </c>
      <c r="Y8" s="17"/>
      <c r="Z8" s="27" t="str">
        <f t="shared" si="40"/>
        <v/>
      </c>
      <c r="AA8" s="16">
        <f t="shared" si="41"/>
        <v>5</v>
      </c>
      <c r="AB8" s="16">
        <f t="shared" si="9"/>
        <v>1</v>
      </c>
      <c r="AC8" s="16">
        <f>SUM(AA$5:AA8)</f>
        <v>6</v>
      </c>
      <c r="AD8" s="67">
        <f t="shared" si="10"/>
        <v>4.3936731107205628E-3</v>
      </c>
      <c r="AE8" s="16"/>
      <c r="AF8" s="16">
        <f>VLOOKUP($E8,data!$A$2:$G$144,7)</f>
        <v>0</v>
      </c>
      <c r="AG8" s="16">
        <f t="shared" si="11"/>
        <v>0</v>
      </c>
      <c r="AH8" s="16"/>
      <c r="AI8" s="42">
        <f>VLOOKUP($E8,data!$A$2:$E$144,5)</f>
        <v>1138</v>
      </c>
      <c r="AJ8" s="42">
        <f t="shared" si="12"/>
        <v>227.6</v>
      </c>
      <c r="AK8" s="32"/>
      <c r="AL8" s="56">
        <f t="shared" si="13"/>
        <v>3</v>
      </c>
      <c r="AM8" s="16">
        <f t="shared" si="14"/>
        <v>65999942.000032209</v>
      </c>
      <c r="AN8" s="16"/>
      <c r="AO8" s="16">
        <f t="shared" si="15"/>
        <v>4</v>
      </c>
      <c r="AP8" s="16">
        <f t="shared" si="16"/>
        <v>23</v>
      </c>
      <c r="AQ8" s="16">
        <f t="shared" si="17"/>
        <v>12.149970473081083</v>
      </c>
      <c r="AR8" s="16"/>
      <c r="AS8" s="16">
        <f t="shared" si="18"/>
        <v>66004</v>
      </c>
      <c r="AT8" s="16">
        <f t="shared" si="19"/>
        <v>1650022</v>
      </c>
      <c r="AU8" s="16">
        <f t="shared" si="20"/>
        <v>64283974</v>
      </c>
      <c r="AV8" s="16"/>
      <c r="AW8" s="16">
        <f ca="1">ROUND(AS8*Desire_severe*(1-SUM($BD$5:$BF7)/Population),0)</f>
        <v>66002</v>
      </c>
      <c r="AX8" s="16">
        <f ca="1">ROUND(AT8*Desire_mild*(1-SUM($BD$5:$BF7)/Population),0)</f>
        <v>824990</v>
      </c>
      <c r="AY8" s="16">
        <f ca="1">ROUND(AU8*Desire_asy*(1-SUM($BD$5:$BF7)/Population),0)</f>
        <v>1285647</v>
      </c>
      <c r="AZ8" s="16"/>
      <c r="BA8" s="42">
        <f>VLOOKUP($E8,data!$A$2:$F$144,6)</f>
        <v>5</v>
      </c>
      <c r="BB8" s="42">
        <f t="shared" ca="1" si="22"/>
        <v>2743</v>
      </c>
      <c r="BC8" s="16"/>
      <c r="BD8" s="16">
        <f t="shared" ca="1" si="23"/>
        <v>2743</v>
      </c>
      <c r="BE8" s="16">
        <f t="shared" ca="1" si="24"/>
        <v>0</v>
      </c>
      <c r="BF8" s="16">
        <f t="shared" ca="1" si="25"/>
        <v>0</v>
      </c>
      <c r="BG8" s="16"/>
      <c r="BH8" s="16">
        <f t="shared" ca="1" si="26"/>
        <v>63259</v>
      </c>
      <c r="BI8" s="16">
        <f t="shared" ca="1" si="27"/>
        <v>824990</v>
      </c>
      <c r="BJ8" s="16">
        <f t="shared" ca="1" si="28"/>
        <v>1285647</v>
      </c>
      <c r="BK8" s="16"/>
      <c r="BL8" s="18">
        <f t="shared" si="29"/>
        <v>6.0602387734076725E-5</v>
      </c>
      <c r="BM8" s="18">
        <f t="shared" si="30"/>
        <v>1.3939208083286162E-5</v>
      </c>
      <c r="BN8" s="18">
        <f t="shared" si="31"/>
        <v>1.8900465725844957E-7</v>
      </c>
      <c r="BO8" s="16"/>
      <c r="BP8" s="16">
        <f t="shared" ca="1" si="32"/>
        <v>14</v>
      </c>
      <c r="BQ8" s="16">
        <f t="shared" ca="1" si="33"/>
        <v>0</v>
      </c>
      <c r="BR8" s="16">
        <f t="shared" ca="1" si="34"/>
        <v>0</v>
      </c>
      <c r="BS8" s="16"/>
      <c r="BT8" s="16">
        <f t="shared" ca="1" si="42"/>
        <v>14</v>
      </c>
      <c r="BU8" s="20">
        <f t="shared" ca="1" si="44"/>
        <v>2.3333333333333335</v>
      </c>
      <c r="BV8" s="17">
        <f t="shared" ref="BV8:BV32" ca="1" si="45">BT8/SUM(BD8:BF8)</f>
        <v>5.1039008384979948E-3</v>
      </c>
    </row>
    <row r="9" spans="1:74" s="9" customFormat="1" ht="13" customHeight="1" x14ac:dyDescent="0.3">
      <c r="A9" s="15" t="s">
        <v>38</v>
      </c>
      <c r="B9" s="8">
        <v>10</v>
      </c>
      <c r="D9" s="35">
        <f t="shared" si="43"/>
        <v>4</v>
      </c>
      <c r="E9" s="38">
        <f t="shared" si="35"/>
        <v>43878</v>
      </c>
      <c r="F9" s="16"/>
      <c r="G9" s="43">
        <f t="shared" si="36"/>
        <v>2.9999840857325681</v>
      </c>
      <c r="H9" s="37">
        <f t="shared" si="0"/>
        <v>3.1467802929273736</v>
      </c>
      <c r="I9" s="16">
        <f t="shared" si="37"/>
        <v>117.44970638985328</v>
      </c>
      <c r="J9" s="16">
        <f t="shared" si="1"/>
        <v>23.489941277970654</v>
      </c>
      <c r="K9" s="16">
        <f>SUM(I$5:I9)</f>
        <v>175.44967418386477</v>
      </c>
      <c r="L9" s="16">
        <f t="shared" ca="1" si="2"/>
        <v>0.17399990338203453</v>
      </c>
      <c r="M9" s="16">
        <f t="shared" ca="1" si="3"/>
        <v>3.4799980676406904E-2</v>
      </c>
      <c r="N9" s="16">
        <f ca="1">SUM(L$5:L9)</f>
        <v>0.25229989493684385</v>
      </c>
      <c r="O9" s="16"/>
      <c r="P9" s="27">
        <f t="shared" ca="1" si="38"/>
        <v>0.5714285714285714</v>
      </c>
      <c r="Q9" s="37">
        <f t="shared" ca="1" si="4"/>
        <v>11.610778261713047</v>
      </c>
      <c r="R9" s="16">
        <f t="shared" ca="1" si="5"/>
        <v>14</v>
      </c>
      <c r="S9" s="16">
        <f t="shared" ca="1" si="6"/>
        <v>2.8</v>
      </c>
      <c r="T9" s="16">
        <f ca="1">SUM(R$5:R9)</f>
        <v>23</v>
      </c>
      <c r="U9" s="16"/>
      <c r="V9" s="17">
        <f t="shared" ca="1" si="7"/>
        <v>0.13109172249528858</v>
      </c>
      <c r="W9" s="46">
        <f t="shared" ca="1" si="39"/>
        <v>0.11919995741436344</v>
      </c>
      <c r="X9" s="48">
        <f t="shared" ca="1" si="8"/>
        <v>5.1039008384979948E-3</v>
      </c>
      <c r="Y9" s="17"/>
      <c r="Z9" s="27" t="str">
        <f t="shared" si="40"/>
        <v/>
      </c>
      <c r="AA9" s="16">
        <f t="shared" si="41"/>
        <v>1</v>
      </c>
      <c r="AB9" s="16">
        <f t="shared" si="9"/>
        <v>0.2</v>
      </c>
      <c r="AC9" s="16">
        <f>SUM(AA$5:AA9)</f>
        <v>7</v>
      </c>
      <c r="AD9" s="67">
        <f t="shared" si="10"/>
        <v>3.6456434560699962E-4</v>
      </c>
      <c r="AE9" s="16"/>
      <c r="AF9" s="16">
        <f>VLOOKUP($E9,data!$A$2:$G$144,7)</f>
        <v>0</v>
      </c>
      <c r="AG9" s="16">
        <f t="shared" si="11"/>
        <v>0</v>
      </c>
      <c r="AH9" s="16"/>
      <c r="AI9" s="42">
        <f>VLOOKUP($E9,data!$A$2:$E$144,5)</f>
        <v>2743</v>
      </c>
      <c r="AJ9" s="42">
        <f t="shared" si="12"/>
        <v>548.6</v>
      </c>
      <c r="AK9" s="32"/>
      <c r="AL9" s="56">
        <f t="shared" si="13"/>
        <v>3</v>
      </c>
      <c r="AM9" s="16">
        <f t="shared" si="14"/>
        <v>65999824.550325818</v>
      </c>
      <c r="AN9" s="16"/>
      <c r="AO9" s="16">
        <f t="shared" si="15"/>
        <v>12</v>
      </c>
      <c r="AP9" s="16">
        <f t="shared" si="16"/>
        <v>70</v>
      </c>
      <c r="AQ9" s="16">
        <f t="shared" si="17"/>
        <v>35.449706389853276</v>
      </c>
      <c r="AR9" s="16"/>
      <c r="AS9" s="16">
        <f t="shared" si="18"/>
        <v>66012</v>
      </c>
      <c r="AT9" s="16">
        <f t="shared" si="19"/>
        <v>1650067</v>
      </c>
      <c r="AU9" s="16">
        <f t="shared" si="20"/>
        <v>64283921</v>
      </c>
      <c r="AV9" s="16"/>
      <c r="AW9" s="16">
        <f ca="1">ROUND(AS9*Desire_severe*(1-SUM($BD$5:$BF8)/Population),0)</f>
        <v>66008</v>
      </c>
      <c r="AX9" s="16">
        <f ca="1">ROUND(AT9*Desire_mild*(1-SUM($BD$5:$BF8)/Population),0)</f>
        <v>824978</v>
      </c>
      <c r="AY9" s="16">
        <f ca="1">ROUND(AU9*Desire_asy*(1-SUM($BD$5:$BF8)/Population),0)</f>
        <v>1285593</v>
      </c>
      <c r="AZ9" s="16"/>
      <c r="BA9" s="42">
        <f>VLOOKUP($E9,data!$A$2:$F$144,6)</f>
        <v>1</v>
      </c>
      <c r="BB9" s="42">
        <f t="shared" ca="1" si="22"/>
        <v>1651</v>
      </c>
      <c r="BC9" s="16"/>
      <c r="BD9" s="16">
        <f t="shared" ca="1" si="23"/>
        <v>1651</v>
      </c>
      <c r="BE9" s="16">
        <f t="shared" ca="1" si="24"/>
        <v>0</v>
      </c>
      <c r="BF9" s="16">
        <f t="shared" ca="1" si="25"/>
        <v>0</v>
      </c>
      <c r="BG9" s="16"/>
      <c r="BH9" s="16">
        <f t="shared" ca="1" si="26"/>
        <v>64357</v>
      </c>
      <c r="BI9" s="16">
        <f t="shared" ca="1" si="27"/>
        <v>824978</v>
      </c>
      <c r="BJ9" s="16">
        <f t="shared" ca="1" si="28"/>
        <v>1285593</v>
      </c>
      <c r="BK9" s="16"/>
      <c r="BL9" s="18">
        <f t="shared" si="29"/>
        <v>1.8178512997636792E-4</v>
      </c>
      <c r="BM9" s="18">
        <f t="shared" si="30"/>
        <v>4.2422519812831845E-5</v>
      </c>
      <c r="BN9" s="18">
        <f t="shared" si="31"/>
        <v>5.5145526032634628E-7</v>
      </c>
      <c r="BO9" s="16"/>
      <c r="BP9" s="16">
        <f t="shared" ca="1" si="32"/>
        <v>8</v>
      </c>
      <c r="BQ9" s="16">
        <f t="shared" ca="1" si="33"/>
        <v>0</v>
      </c>
      <c r="BR9" s="16">
        <f t="shared" ca="1" si="34"/>
        <v>0</v>
      </c>
      <c r="BS9" s="16"/>
      <c r="BT9" s="16">
        <f t="shared" ca="1" si="42"/>
        <v>8</v>
      </c>
      <c r="BU9" s="20">
        <f t="shared" ca="1" si="44"/>
        <v>0.5714285714285714</v>
      </c>
      <c r="BV9" s="17">
        <f t="shared" ca="1" si="45"/>
        <v>4.8455481526347667E-3</v>
      </c>
    </row>
    <row r="10" spans="1:74" s="9" customFormat="1" ht="13" customHeight="1" x14ac:dyDescent="0.3">
      <c r="A10" s="15" t="s">
        <v>39</v>
      </c>
      <c r="B10" s="8">
        <v>13</v>
      </c>
      <c r="D10" s="35">
        <f t="shared" si="43"/>
        <v>5</v>
      </c>
      <c r="E10" s="38">
        <f t="shared" si="35"/>
        <v>43883</v>
      </c>
      <c r="F10" s="16"/>
      <c r="G10" s="43">
        <f t="shared" si="36"/>
        <v>2.999952054473443</v>
      </c>
      <c r="H10" s="37">
        <f t="shared" si="0"/>
        <v>3.1520569323333532</v>
      </c>
      <c r="I10" s="16">
        <f t="shared" si="37"/>
        <v>352.34725004352254</v>
      </c>
      <c r="J10" s="16">
        <f t="shared" si="1"/>
        <v>70.469450008704513</v>
      </c>
      <c r="K10" s="16">
        <f>SUM(I$5:I10)</f>
        <v>527.79692422738731</v>
      </c>
      <c r="L10" s="16">
        <f t="shared" ca="1" si="2"/>
        <v>0.52199902255159436</v>
      </c>
      <c r="M10" s="16">
        <f t="shared" ca="1" si="3"/>
        <v>0.10439980451031887</v>
      </c>
      <c r="N10" s="16">
        <f ca="1">SUM(L$5:L10)</f>
        <v>0.77429891748843827</v>
      </c>
      <c r="O10" s="16"/>
      <c r="P10" s="27" t="str">
        <f t="shared" ca="1" si="38"/>
        <v/>
      </c>
      <c r="Q10" s="37">
        <f t="shared" ca="1" si="4"/>
        <v>13.596866549873599</v>
      </c>
      <c r="R10" s="16">
        <f t="shared" ca="1" si="5"/>
        <v>8</v>
      </c>
      <c r="S10" s="16">
        <f t="shared" ca="1" si="6"/>
        <v>1.6</v>
      </c>
      <c r="T10" s="16">
        <f ca="1">SUM(R$5:R10)</f>
        <v>31</v>
      </c>
      <c r="U10" s="16"/>
      <c r="V10" s="17">
        <f t="shared" ca="1" si="7"/>
        <v>5.8734711357742719E-2</v>
      </c>
      <c r="W10" s="46">
        <f t="shared" ca="1" si="39"/>
        <v>2.2704874237025621E-2</v>
      </c>
      <c r="X10" s="48">
        <f t="shared" ca="1" si="8"/>
        <v>4.8455481526347667E-3</v>
      </c>
      <c r="Y10" s="17"/>
      <c r="Z10" s="27" t="str">
        <f t="shared" si="40"/>
        <v/>
      </c>
      <c r="AA10" s="16">
        <f t="shared" si="41"/>
        <v>0</v>
      </c>
      <c r="AB10" s="16">
        <f t="shared" si="9"/>
        <v>0</v>
      </c>
      <c r="AC10" s="16">
        <f>SUM(AA$5:AA10)</f>
        <v>7</v>
      </c>
      <c r="AD10" s="67">
        <f t="shared" si="10"/>
        <v>0</v>
      </c>
      <c r="AE10" s="16"/>
      <c r="AF10" s="16">
        <f>VLOOKUP($E10,data!$A$2:$G$144,7)</f>
        <v>0</v>
      </c>
      <c r="AG10" s="16">
        <f t="shared" si="11"/>
        <v>0</v>
      </c>
      <c r="AH10" s="16"/>
      <c r="AI10" s="42">
        <f>VLOOKUP($E10,data!$A$2:$E$144,5)</f>
        <v>1651</v>
      </c>
      <c r="AJ10" s="42">
        <f t="shared" si="12"/>
        <v>330.2</v>
      </c>
      <c r="AK10" s="32"/>
      <c r="AL10" s="56">
        <f t="shared" si="13"/>
        <v>3</v>
      </c>
      <c r="AM10" s="16">
        <f t="shared" si="14"/>
        <v>65999472.203075774</v>
      </c>
      <c r="AN10" s="16"/>
      <c r="AO10" s="16">
        <f t="shared" si="15"/>
        <v>35</v>
      </c>
      <c r="AP10" s="16">
        <f t="shared" si="16"/>
        <v>211</v>
      </c>
      <c r="AQ10" s="16">
        <f t="shared" si="17"/>
        <v>106.34725004352254</v>
      </c>
      <c r="AR10" s="16"/>
      <c r="AS10" s="16">
        <f t="shared" si="18"/>
        <v>66035</v>
      </c>
      <c r="AT10" s="16">
        <f t="shared" si="19"/>
        <v>1650202</v>
      </c>
      <c r="AU10" s="16">
        <f t="shared" si="20"/>
        <v>64283763</v>
      </c>
      <c r="AV10" s="16"/>
      <c r="AW10" s="16">
        <f ca="1">ROUND(AS10*Desire_severe*(1-SUM($BD$5:$BF9)/Population),0)</f>
        <v>66029</v>
      </c>
      <c r="AX10" s="16">
        <f ca="1">ROUND(AT10*Desire_mild*(1-SUM($BD$5:$BF9)/Population),0)</f>
        <v>825025</v>
      </c>
      <c r="AY10" s="16">
        <f ca="1">ROUND(AU10*Desire_asy*(1-SUM($BD$5:$BF9)/Population),0)</f>
        <v>1285557</v>
      </c>
      <c r="AZ10" s="16"/>
      <c r="BA10" s="42">
        <f>VLOOKUP($E10,data!$A$2:$F$144,6)</f>
        <v>0</v>
      </c>
      <c r="BB10" s="42">
        <f t="shared" ca="1" si="22"/>
        <v>1538</v>
      </c>
      <c r="BC10" s="16"/>
      <c r="BD10" s="16">
        <f t="shared" ca="1" si="23"/>
        <v>1538</v>
      </c>
      <c r="BE10" s="16">
        <f t="shared" ca="1" si="24"/>
        <v>0</v>
      </c>
      <c r="BF10" s="16">
        <f t="shared" ca="1" si="25"/>
        <v>0</v>
      </c>
      <c r="BG10" s="16"/>
      <c r="BH10" s="16">
        <f t="shared" ca="1" si="26"/>
        <v>64491</v>
      </c>
      <c r="BI10" s="16">
        <f t="shared" ca="1" si="27"/>
        <v>825025</v>
      </c>
      <c r="BJ10" s="16">
        <f t="shared" ca="1" si="28"/>
        <v>1285557</v>
      </c>
      <c r="BK10" s="16"/>
      <c r="BL10" s="18">
        <f t="shared" si="29"/>
        <v>5.3002195805254787E-4</v>
      </c>
      <c r="BM10" s="18">
        <f t="shared" si="30"/>
        <v>1.2786313433143335E-4</v>
      </c>
      <c r="BN10" s="18">
        <f t="shared" si="31"/>
        <v>1.6543407709894415E-6</v>
      </c>
      <c r="BO10" s="16"/>
      <c r="BP10" s="16">
        <f t="shared" ca="1" si="32"/>
        <v>9</v>
      </c>
      <c r="BQ10" s="16">
        <f t="shared" ca="1" si="33"/>
        <v>0</v>
      </c>
      <c r="BR10" s="16">
        <f t="shared" ca="1" si="34"/>
        <v>0</v>
      </c>
      <c r="BS10" s="16"/>
      <c r="BT10" s="16">
        <f t="shared" ca="1" si="42"/>
        <v>9</v>
      </c>
      <c r="BU10" s="20">
        <f t="shared" ca="1" si="44"/>
        <v>1.125</v>
      </c>
      <c r="BV10" s="17">
        <f t="shared" ca="1" si="45"/>
        <v>5.8517555266579977E-3</v>
      </c>
    </row>
    <row r="11" spans="1:74" s="9" customFormat="1" ht="13" customHeight="1" x14ac:dyDescent="0.3">
      <c r="A11" s="15"/>
      <c r="B11" s="8"/>
      <c r="D11" s="35">
        <f t="shared" si="43"/>
        <v>6</v>
      </c>
      <c r="E11" s="38">
        <f t="shared" si="35"/>
        <v>43888</v>
      </c>
      <c r="F11" s="16"/>
      <c r="G11" s="43">
        <f t="shared" si="36"/>
        <v>2.999855964251767</v>
      </c>
      <c r="H11" s="37">
        <f t="shared" si="0"/>
        <v>3.1538767473641571</v>
      </c>
      <c r="I11" s="16">
        <f t="shared" si="37"/>
        <v>1057.0248566561334</v>
      </c>
      <c r="J11" s="16">
        <f t="shared" si="1"/>
        <v>211.40497133122668</v>
      </c>
      <c r="K11" s="16">
        <f>SUM(I$5:I11)</f>
        <v>1584.8217808835207</v>
      </c>
      <c r="L11" s="16">
        <f t="shared" ca="1" si="2"/>
        <v>1.5659907730901441</v>
      </c>
      <c r="M11" s="16">
        <f t="shared" ca="1" si="3"/>
        <v>0.3131981546180288</v>
      </c>
      <c r="N11" s="16">
        <f ca="1">SUM(L$5:L11)</f>
        <v>2.3402896905785822</v>
      </c>
      <c r="O11" s="16"/>
      <c r="P11" s="27" t="str">
        <f t="shared" ca="1" si="38"/>
        <v/>
      </c>
      <c r="Q11" s="37">
        <f t="shared" ca="1" si="4"/>
        <v>5</v>
      </c>
      <c r="R11" s="16">
        <f t="shared" ca="1" si="5"/>
        <v>9</v>
      </c>
      <c r="S11" s="16">
        <f t="shared" ca="1" si="6"/>
        <v>1.8</v>
      </c>
      <c r="T11" s="16">
        <f ca="1">SUM(R$5:R11)</f>
        <v>40</v>
      </c>
      <c r="U11" s="16"/>
      <c r="V11" s="17">
        <f t="shared" ca="1" si="7"/>
        <v>2.5239431008892647E-2</v>
      </c>
      <c r="W11" s="46">
        <f t="shared" ca="1" si="39"/>
        <v>8.5144639157032041E-3</v>
      </c>
      <c r="X11" s="48">
        <f t="shared" ca="1" si="8"/>
        <v>5.8517555266579977E-3</v>
      </c>
      <c r="Y11" s="17"/>
      <c r="Z11" s="27" t="str">
        <f t="shared" si="40"/>
        <v/>
      </c>
      <c r="AA11" s="16">
        <f t="shared" si="41"/>
        <v>4</v>
      </c>
      <c r="AB11" s="16">
        <f t="shared" si="9"/>
        <v>0.8</v>
      </c>
      <c r="AC11" s="16">
        <f>SUM(AA$5:AA11)</f>
        <v>11</v>
      </c>
      <c r="AD11" s="67">
        <f t="shared" si="10"/>
        <v>2.6007802340702211E-3</v>
      </c>
      <c r="AE11" s="16"/>
      <c r="AF11" s="16">
        <f>VLOOKUP($E11,data!$A$2:$G$144,7)</f>
        <v>0</v>
      </c>
      <c r="AG11" s="16">
        <f t="shared" si="11"/>
        <v>0</v>
      </c>
      <c r="AH11" s="16"/>
      <c r="AI11" s="42">
        <f>VLOOKUP($E11,data!$A$2:$E$144,5)</f>
        <v>1538</v>
      </c>
      <c r="AJ11" s="42">
        <f t="shared" si="12"/>
        <v>307.60000000000002</v>
      </c>
      <c r="AK11" s="32"/>
      <c r="AL11" s="56">
        <f t="shared" si="13"/>
        <v>3</v>
      </c>
      <c r="AM11" s="16">
        <f t="shared" si="14"/>
        <v>65998415.178219117</v>
      </c>
      <c r="AN11" s="16"/>
      <c r="AO11" s="16">
        <f t="shared" si="15"/>
        <v>106</v>
      </c>
      <c r="AP11" s="16">
        <f t="shared" si="16"/>
        <v>634</v>
      </c>
      <c r="AQ11" s="16">
        <f t="shared" si="17"/>
        <v>317.02485665613335</v>
      </c>
      <c r="AR11" s="16"/>
      <c r="AS11" s="16">
        <f t="shared" si="18"/>
        <v>66105</v>
      </c>
      <c r="AT11" s="16">
        <f t="shared" si="19"/>
        <v>1650608</v>
      </c>
      <c r="AU11" s="16">
        <f t="shared" si="20"/>
        <v>64283287</v>
      </c>
      <c r="AV11" s="16"/>
      <c r="AW11" s="16">
        <f ca="1">ROUND(AS11*Desire_severe*(1-SUM($BD$5:$BF10)/Population),0)</f>
        <v>66097</v>
      </c>
      <c r="AX11" s="16">
        <f ca="1">ROUND(AT11*Desire_mild*(1-SUM($BD$5:$BF10)/Population),0)</f>
        <v>825209</v>
      </c>
      <c r="AY11" s="16">
        <f ca="1">ROUND(AU11*Desire_asy*(1-SUM($BD$5:$BF10)/Population),0)</f>
        <v>1285518</v>
      </c>
      <c r="AZ11" s="16"/>
      <c r="BA11" s="42">
        <f>VLOOKUP($E11,data!$A$2:$F$144,6)</f>
        <v>4</v>
      </c>
      <c r="BB11" s="42">
        <f t="shared" ca="1" si="22"/>
        <v>6221</v>
      </c>
      <c r="BC11" s="16"/>
      <c r="BD11" s="16">
        <f t="shared" ca="1" si="23"/>
        <v>6221</v>
      </c>
      <c r="BE11" s="16">
        <f t="shared" ca="1" si="24"/>
        <v>0</v>
      </c>
      <c r="BF11" s="16">
        <f t="shared" ca="1" si="25"/>
        <v>0</v>
      </c>
      <c r="BG11" s="16"/>
      <c r="BH11" s="16">
        <f t="shared" ca="1" si="26"/>
        <v>59876</v>
      </c>
      <c r="BI11" s="16">
        <f t="shared" ca="1" si="27"/>
        <v>825209</v>
      </c>
      <c r="BJ11" s="16">
        <f t="shared" ca="1" si="28"/>
        <v>1285518</v>
      </c>
      <c r="BK11" s="16"/>
      <c r="BL11" s="18">
        <f t="shared" si="29"/>
        <v>1.6035095681113381E-3</v>
      </c>
      <c r="BM11" s="18">
        <f t="shared" si="30"/>
        <v>3.841008888845807E-4</v>
      </c>
      <c r="BN11" s="18">
        <f t="shared" si="31"/>
        <v>4.9316839796342923E-6</v>
      </c>
      <c r="BO11" s="16"/>
      <c r="BP11" s="16">
        <f t="shared" ca="1" si="32"/>
        <v>40</v>
      </c>
      <c r="BQ11" s="16">
        <f t="shared" ca="1" si="33"/>
        <v>0</v>
      </c>
      <c r="BR11" s="16">
        <f t="shared" ca="1" si="34"/>
        <v>0</v>
      </c>
      <c r="BS11" s="16"/>
      <c r="BT11" s="16">
        <f t="shared" ca="1" si="42"/>
        <v>40</v>
      </c>
      <c r="BU11" s="20">
        <f t="shared" ca="1" si="44"/>
        <v>4.4444444444444446</v>
      </c>
      <c r="BV11" s="17">
        <f t="shared" ca="1" si="45"/>
        <v>6.4298344317633817E-3</v>
      </c>
    </row>
    <row r="12" spans="1:74" s="9" customFormat="1" ht="13" customHeight="1" x14ac:dyDescent="0.3">
      <c r="A12" s="15" t="s">
        <v>27</v>
      </c>
      <c r="B12" s="21">
        <v>0.3</v>
      </c>
      <c r="D12" s="35">
        <f t="shared" si="43"/>
        <v>7</v>
      </c>
      <c r="E12" s="38">
        <f t="shared" si="35"/>
        <v>43893</v>
      </c>
      <c r="F12" s="16"/>
      <c r="G12" s="43">
        <f t="shared" si="36"/>
        <v>2.9995677251144985</v>
      </c>
      <c r="H12" s="37">
        <f t="shared" si="0"/>
        <v>3.1546672745324522</v>
      </c>
      <c r="I12" s="16">
        <f t="shared" si="37"/>
        <v>3170.9223206022707</v>
      </c>
      <c r="J12" s="16">
        <f t="shared" si="1"/>
        <v>634.18446412045409</v>
      </c>
      <c r="K12" s="16">
        <f>SUM(I$5:I12)</f>
        <v>4755.7441014857914</v>
      </c>
      <c r="L12" s="16">
        <f t="shared" ca="1" si="2"/>
        <v>4.6979153506877704</v>
      </c>
      <c r="M12" s="16">
        <f t="shared" ca="1" si="3"/>
        <v>0.93958307013755404</v>
      </c>
      <c r="N12" s="16">
        <f ca="1">SUM(L$5:L12)</f>
        <v>7.0382050412663526</v>
      </c>
      <c r="O12" s="16"/>
      <c r="P12" s="27">
        <f t="shared" ca="1" si="38"/>
        <v>2.2999999999999998</v>
      </c>
      <c r="Q12" s="37">
        <f t="shared" ca="1" si="4"/>
        <v>4.5276048345970912</v>
      </c>
      <c r="R12" s="16">
        <f t="shared" ca="1" si="5"/>
        <v>40</v>
      </c>
      <c r="S12" s="16">
        <f t="shared" ca="1" si="6"/>
        <v>8</v>
      </c>
      <c r="T12" s="16">
        <f ca="1">SUM(R$5:R12)</f>
        <v>80</v>
      </c>
      <c r="U12" s="16"/>
      <c r="V12" s="17">
        <f t="shared" ca="1" si="7"/>
        <v>1.6821762965548624E-2</v>
      </c>
      <c r="W12" s="46">
        <f t="shared" ca="1" si="39"/>
        <v>1.2614626268234341E-2</v>
      </c>
      <c r="X12" s="48">
        <f t="shared" ca="1" si="8"/>
        <v>6.4298344317633817E-3</v>
      </c>
      <c r="Y12" s="17"/>
      <c r="Z12" s="27">
        <f t="shared" si="40"/>
        <v>6.1481481481481479</v>
      </c>
      <c r="AA12" s="16">
        <f t="shared" si="41"/>
        <v>27</v>
      </c>
      <c r="AB12" s="16">
        <f t="shared" si="9"/>
        <v>5.4</v>
      </c>
      <c r="AC12" s="16">
        <f>SUM(AA$5:AA12)</f>
        <v>38</v>
      </c>
      <c r="AD12" s="67">
        <f t="shared" si="10"/>
        <v>4.340138241440283E-3</v>
      </c>
      <c r="AE12" s="16"/>
      <c r="AF12" s="16">
        <f>VLOOKUP($E12,data!$A$2:$G$144,7)</f>
        <v>0</v>
      </c>
      <c r="AG12" s="16">
        <f t="shared" si="11"/>
        <v>0</v>
      </c>
      <c r="AH12" s="16"/>
      <c r="AI12" s="42">
        <f>VLOOKUP($E12,data!$A$2:$E$144,5)</f>
        <v>6221</v>
      </c>
      <c r="AJ12" s="42">
        <f t="shared" si="12"/>
        <v>1244.2</v>
      </c>
      <c r="AK12" s="32"/>
      <c r="AL12" s="56">
        <f t="shared" si="13"/>
        <v>3</v>
      </c>
      <c r="AM12" s="16">
        <f t="shared" si="14"/>
        <v>65995244.255898513</v>
      </c>
      <c r="AN12" s="16"/>
      <c r="AO12" s="16">
        <f t="shared" si="15"/>
        <v>317</v>
      </c>
      <c r="AP12" s="16">
        <f t="shared" si="16"/>
        <v>1903</v>
      </c>
      <c r="AQ12" s="16">
        <f t="shared" si="17"/>
        <v>950.9223206022707</v>
      </c>
      <c r="AR12" s="16"/>
      <c r="AS12" s="16">
        <f t="shared" si="18"/>
        <v>66314</v>
      </c>
      <c r="AT12" s="16">
        <f t="shared" si="19"/>
        <v>1651824</v>
      </c>
      <c r="AU12" s="16">
        <f t="shared" si="20"/>
        <v>64281862</v>
      </c>
      <c r="AV12" s="16"/>
      <c r="AW12" s="16">
        <f ca="1">ROUND(AS12*Desire_severe*(1-SUM($BD$5:$BF11)/Population),0)</f>
        <v>66300</v>
      </c>
      <c r="AX12" s="16">
        <f ca="1">ROUND(AT12*Desire_mild*(1-SUM($BD$5:$BF11)/Population),0)</f>
        <v>825739</v>
      </c>
      <c r="AY12" s="16">
        <f ca="1">ROUND(AU12*Desire_asy*(1-SUM($BD$5:$BF11)/Population),0)</f>
        <v>1285368</v>
      </c>
      <c r="AZ12" s="16"/>
      <c r="BA12" s="42">
        <f>VLOOKUP($E12,data!$A$2:$F$144,6)</f>
        <v>27</v>
      </c>
      <c r="BB12" s="42">
        <f t="shared" ca="1" si="22"/>
        <v>9602</v>
      </c>
      <c r="BC12" s="16"/>
      <c r="BD12" s="16">
        <f t="shared" ca="1" si="23"/>
        <v>9602</v>
      </c>
      <c r="BE12" s="16">
        <f t="shared" ca="1" si="24"/>
        <v>0</v>
      </c>
      <c r="BF12" s="16">
        <f t="shared" ca="1" si="25"/>
        <v>0</v>
      </c>
      <c r="BG12" s="16"/>
      <c r="BH12" s="16">
        <f t="shared" ca="1" si="26"/>
        <v>56698</v>
      </c>
      <c r="BI12" s="16">
        <f t="shared" ca="1" si="27"/>
        <v>825739</v>
      </c>
      <c r="BJ12" s="16">
        <f t="shared" ca="1" si="28"/>
        <v>1285368</v>
      </c>
      <c r="BK12" s="16"/>
      <c r="BL12" s="18">
        <f t="shared" si="29"/>
        <v>4.7802877220496426E-3</v>
      </c>
      <c r="BM12" s="18">
        <f t="shared" si="30"/>
        <v>1.1520597836089076E-3</v>
      </c>
      <c r="BN12" s="18">
        <f t="shared" si="31"/>
        <v>1.4793011450139243E-5</v>
      </c>
      <c r="BO12" s="16"/>
      <c r="BP12" s="16">
        <f t="shared" ca="1" si="32"/>
        <v>92</v>
      </c>
      <c r="BQ12" s="16">
        <f t="shared" ca="1" si="33"/>
        <v>0</v>
      </c>
      <c r="BR12" s="16">
        <f t="shared" ca="1" si="34"/>
        <v>0</v>
      </c>
      <c r="BS12" s="16"/>
      <c r="BT12" s="16">
        <f t="shared" ca="1" si="42"/>
        <v>92</v>
      </c>
      <c r="BU12" s="20">
        <f t="shared" ca="1" si="44"/>
        <v>2.2999999999999998</v>
      </c>
      <c r="BV12" s="17">
        <f t="shared" ca="1" si="45"/>
        <v>9.5813372214122051E-3</v>
      </c>
    </row>
    <row r="13" spans="1:74" s="9" customFormat="1" ht="13" customHeight="1" x14ac:dyDescent="0.3">
      <c r="A13" s="15" t="s">
        <v>2</v>
      </c>
      <c r="B13" s="21">
        <v>0.6</v>
      </c>
      <c r="D13" s="35">
        <f t="shared" si="43"/>
        <v>8</v>
      </c>
      <c r="E13" s="38">
        <f t="shared" si="35"/>
        <v>43898</v>
      </c>
      <c r="F13" s="16"/>
      <c r="G13" s="43">
        <f t="shared" si="36"/>
        <v>2.9987032915001506</v>
      </c>
      <c r="H13" s="37">
        <f t="shared" si="0"/>
        <v>3.1554827152846499</v>
      </c>
      <c r="I13" s="16">
        <f t="shared" si="37"/>
        <v>9511.3962517237396</v>
      </c>
      <c r="J13" s="16">
        <f t="shared" si="1"/>
        <v>1902.2792503447479</v>
      </c>
      <c r="K13" s="16">
        <f>SUM(I$5:I13)</f>
        <v>14267.140353209532</v>
      </c>
      <c r="L13" s="16">
        <f t="shared" ca="1" si="2"/>
        <v>14.09323240107534</v>
      </c>
      <c r="M13" s="16">
        <f t="shared" ca="1" si="3"/>
        <v>2.8186464802150679</v>
      </c>
      <c r="N13" s="16">
        <f ca="1">SUM(L$5:L13)</f>
        <v>21.131437442341692</v>
      </c>
      <c r="O13" s="16"/>
      <c r="P13" s="27">
        <f t="shared" ca="1" si="38"/>
        <v>1.8586956521739131</v>
      </c>
      <c r="Q13" s="37">
        <f t="shared" ca="1" si="4"/>
        <v>5.0210885141640169</v>
      </c>
      <c r="R13" s="16">
        <f t="shared" ca="1" si="5"/>
        <v>92</v>
      </c>
      <c r="S13" s="16">
        <f t="shared" ca="1" si="6"/>
        <v>18.399999999999999</v>
      </c>
      <c r="T13" s="16">
        <f ca="1">SUM(R$5:R13)</f>
        <v>172</v>
      </c>
      <c r="U13" s="16"/>
      <c r="V13" s="17">
        <f t="shared" ca="1" si="7"/>
        <v>1.2055674489899228E-2</v>
      </c>
      <c r="W13" s="46">
        <f t="shared" ca="1" si="39"/>
        <v>9.6726072140383111E-3</v>
      </c>
      <c r="X13" s="48">
        <f t="shared" ca="1" si="8"/>
        <v>9.5813372214122051E-3</v>
      </c>
      <c r="Y13" s="17"/>
      <c r="Z13" s="27">
        <f t="shared" si="40"/>
        <v>2.3132530120481927</v>
      </c>
      <c r="AA13" s="16">
        <f t="shared" si="41"/>
        <v>166</v>
      </c>
      <c r="AB13" s="16">
        <f t="shared" si="9"/>
        <v>33.200000000000003</v>
      </c>
      <c r="AC13" s="16">
        <f>SUM(AA$5:AA13)</f>
        <v>204</v>
      </c>
      <c r="AD13" s="67">
        <f t="shared" si="10"/>
        <v>1.7288064986461155E-2</v>
      </c>
      <c r="AE13" s="16"/>
      <c r="AF13" s="16">
        <f>VLOOKUP($E13,data!$A$2:$G$144,7)</f>
        <v>2</v>
      </c>
      <c r="AG13" s="16">
        <f t="shared" si="11"/>
        <v>0.4</v>
      </c>
      <c r="AH13" s="16"/>
      <c r="AI13" s="42">
        <f>VLOOKUP($E13,data!$A$2:$E$144,5)</f>
        <v>9602</v>
      </c>
      <c r="AJ13" s="42">
        <f t="shared" si="12"/>
        <v>1920.4</v>
      </c>
      <c r="AK13" s="32"/>
      <c r="AL13" s="56">
        <f t="shared" si="13"/>
        <v>3</v>
      </c>
      <c r="AM13" s="16">
        <f t="shared" si="14"/>
        <v>65985732.85964679</v>
      </c>
      <c r="AN13" s="16"/>
      <c r="AO13" s="16">
        <f t="shared" si="15"/>
        <v>951</v>
      </c>
      <c r="AP13" s="16">
        <f t="shared" si="16"/>
        <v>5707</v>
      </c>
      <c r="AQ13" s="16">
        <f t="shared" si="17"/>
        <v>2853.3962517237396</v>
      </c>
      <c r="AR13" s="16"/>
      <c r="AS13" s="16">
        <f t="shared" si="18"/>
        <v>66941</v>
      </c>
      <c r="AT13" s="16">
        <f t="shared" si="19"/>
        <v>1655469</v>
      </c>
      <c r="AU13" s="16">
        <f t="shared" si="20"/>
        <v>64277590</v>
      </c>
      <c r="AV13" s="16"/>
      <c r="AW13" s="16">
        <f ca="1">ROUND(AS13*Desire_severe*(1-SUM($BD$5:$BF12)/Population),0)</f>
        <v>66917</v>
      </c>
      <c r="AX13" s="16">
        <f ca="1">ROUND(AT13*Desire_mild*(1-SUM($BD$5:$BF12)/Population),0)</f>
        <v>827441</v>
      </c>
      <c r="AY13" s="16">
        <f ca="1">ROUND(AU13*Desire_asy*(1-SUM($BD$5:$BF12)/Population),0)</f>
        <v>1285096</v>
      </c>
      <c r="AZ13" s="16"/>
      <c r="BA13" s="42">
        <f>VLOOKUP($E13,data!$A$2:$F$144,6)</f>
        <v>166</v>
      </c>
      <c r="BB13" s="42">
        <f t="shared" ca="1" si="22"/>
        <v>9258</v>
      </c>
      <c r="BC13" s="16"/>
      <c r="BD13" s="16">
        <f t="shared" ca="1" si="23"/>
        <v>9258</v>
      </c>
      <c r="BE13" s="16">
        <f t="shared" ca="1" si="24"/>
        <v>0</v>
      </c>
      <c r="BF13" s="16">
        <f t="shared" ca="1" si="25"/>
        <v>0</v>
      </c>
      <c r="BG13" s="16"/>
      <c r="BH13" s="16">
        <f t="shared" ca="1" si="26"/>
        <v>57659</v>
      </c>
      <c r="BI13" s="16">
        <f t="shared" ca="1" si="27"/>
        <v>827441</v>
      </c>
      <c r="BJ13" s="16">
        <f t="shared" ca="1" si="28"/>
        <v>1285096</v>
      </c>
      <c r="BK13" s="16"/>
      <c r="BL13" s="18">
        <f t="shared" si="29"/>
        <v>1.4206540087539774E-2</v>
      </c>
      <c r="BM13" s="18">
        <f t="shared" si="30"/>
        <v>3.4473614425881731E-3</v>
      </c>
      <c r="BN13" s="18">
        <f t="shared" si="31"/>
        <v>4.4391774049458599E-5</v>
      </c>
      <c r="BO13" s="16"/>
      <c r="BP13" s="16">
        <f t="shared" ca="1" si="32"/>
        <v>171</v>
      </c>
      <c r="BQ13" s="16">
        <f t="shared" ca="1" si="33"/>
        <v>0</v>
      </c>
      <c r="BR13" s="16">
        <f t="shared" ca="1" si="34"/>
        <v>0</v>
      </c>
      <c r="BS13" s="16"/>
      <c r="BT13" s="16">
        <f t="shared" ca="1" si="42"/>
        <v>171</v>
      </c>
      <c r="BU13" s="20">
        <f t="shared" ca="1" si="44"/>
        <v>1.8586956521739131</v>
      </c>
      <c r="BV13" s="17">
        <f t="shared" ca="1" si="45"/>
        <v>1.8470511989630591E-2</v>
      </c>
    </row>
    <row r="14" spans="1:74" s="9" customFormat="1" ht="13" customHeight="1" x14ac:dyDescent="0.3">
      <c r="A14" s="15" t="s">
        <v>61</v>
      </c>
      <c r="B14" s="61">
        <v>1.2E-2</v>
      </c>
      <c r="D14" s="35">
        <f t="shared" si="43"/>
        <v>9</v>
      </c>
      <c r="E14" s="38">
        <f t="shared" si="35"/>
        <v>43903</v>
      </c>
      <c r="F14" s="16"/>
      <c r="G14" s="43">
        <f t="shared" si="36"/>
        <v>2.9961125425116157</v>
      </c>
      <c r="H14" s="37">
        <f t="shared" si="0"/>
        <v>3.1574107155125293</v>
      </c>
      <c r="I14" s="16">
        <f t="shared" si="37"/>
        <v>28521.855246806172</v>
      </c>
      <c r="J14" s="16">
        <f t="shared" si="1"/>
        <v>5704.3710493612343</v>
      </c>
      <c r="K14" s="16">
        <f>SUM(I$5:I14)</f>
        <v>42788.995600015704</v>
      </c>
      <c r="L14" s="16">
        <f t="shared" ca="1" si="2"/>
        <v>42.275072037076995</v>
      </c>
      <c r="M14" s="16">
        <f t="shared" ca="1" si="3"/>
        <v>8.4550144074153994</v>
      </c>
      <c r="N14" s="16">
        <f ca="1">SUM(L$5:L14)</f>
        <v>63.406509479418688</v>
      </c>
      <c r="O14" s="16"/>
      <c r="P14" s="27">
        <f t="shared" ca="1" si="38"/>
        <v>6.0526315789473681</v>
      </c>
      <c r="Q14" s="37">
        <f t="shared" ca="1" si="4"/>
        <v>2.492155434201035</v>
      </c>
      <c r="R14" s="16">
        <f t="shared" ca="1" si="5"/>
        <v>171</v>
      </c>
      <c r="S14" s="16">
        <f t="shared" ca="1" si="6"/>
        <v>34.200000000000003</v>
      </c>
      <c r="T14" s="16">
        <f ca="1">SUM(R$5:R14)</f>
        <v>343</v>
      </c>
      <c r="U14" s="16"/>
      <c r="V14" s="17">
        <f t="shared" ca="1" si="7"/>
        <v>8.0160797230742695E-3</v>
      </c>
      <c r="W14" s="46">
        <f t="shared" ca="1" si="39"/>
        <v>5.9954024210661502E-3</v>
      </c>
      <c r="X14" s="48">
        <f t="shared" ca="1" si="8"/>
        <v>1.8470511989630591E-2</v>
      </c>
      <c r="Y14" s="17"/>
      <c r="Z14" s="27">
        <f t="shared" si="40"/>
        <v>3.5416666666666665</v>
      </c>
      <c r="AA14" s="16">
        <f t="shared" si="41"/>
        <v>384</v>
      </c>
      <c r="AB14" s="16">
        <f t="shared" si="9"/>
        <v>76.8</v>
      </c>
      <c r="AC14" s="16">
        <f>SUM(AA$5:AA14)</f>
        <v>588</v>
      </c>
      <c r="AD14" s="67">
        <f t="shared" si="10"/>
        <v>4.1477640959170448E-2</v>
      </c>
      <c r="AE14" s="16"/>
      <c r="AF14" s="16">
        <f>VLOOKUP($E14,data!$A$2:$G$144,7)</f>
        <v>7</v>
      </c>
      <c r="AG14" s="16">
        <f t="shared" si="11"/>
        <v>1.4</v>
      </c>
      <c r="AH14" s="16"/>
      <c r="AI14" s="42">
        <f>VLOOKUP($E14,data!$A$2:$E$144,5)</f>
        <v>9258</v>
      </c>
      <c r="AJ14" s="42">
        <f t="shared" si="12"/>
        <v>1851.6</v>
      </c>
      <c r="AK14" s="32"/>
      <c r="AL14" s="56">
        <f t="shared" si="13"/>
        <v>3</v>
      </c>
      <c r="AM14" s="16">
        <f t="shared" si="14"/>
        <v>65957211.004399985</v>
      </c>
      <c r="AN14" s="16"/>
      <c r="AO14" s="16">
        <f t="shared" si="15"/>
        <v>2852</v>
      </c>
      <c r="AP14" s="16">
        <f t="shared" si="16"/>
        <v>17113</v>
      </c>
      <c r="AQ14" s="16">
        <f t="shared" si="17"/>
        <v>8556.8552468061716</v>
      </c>
      <c r="AR14" s="16"/>
      <c r="AS14" s="16">
        <f t="shared" si="18"/>
        <v>68823</v>
      </c>
      <c r="AT14" s="16">
        <f t="shared" si="19"/>
        <v>1666400</v>
      </c>
      <c r="AU14" s="16">
        <f t="shared" si="20"/>
        <v>64264777</v>
      </c>
      <c r="AV14" s="16"/>
      <c r="AW14" s="16">
        <f ca="1">ROUND(AS14*Desire_severe*(1-SUM($BD$5:$BF13)/Population),0)</f>
        <v>68789</v>
      </c>
      <c r="AX14" s="16">
        <f ca="1">ROUND(AT14*Desire_mild*(1-SUM($BD$5:$BF13)/Population),0)</f>
        <v>832788</v>
      </c>
      <c r="AY14" s="16">
        <f ca="1">ROUND(AU14*Desire_asy*(1-SUM($BD$5:$BF13)/Population),0)</f>
        <v>1284659</v>
      </c>
      <c r="AZ14" s="16"/>
      <c r="BA14" s="42">
        <f>VLOOKUP($E14,data!$A$2:$F$144,6)</f>
        <v>384</v>
      </c>
      <c r="BB14" s="42">
        <f t="shared" ca="1" si="22"/>
        <v>23450</v>
      </c>
      <c r="BC14" s="16"/>
      <c r="BD14" s="16">
        <f t="shared" ca="1" si="23"/>
        <v>23450</v>
      </c>
      <c r="BE14" s="16">
        <f t="shared" ca="1" si="24"/>
        <v>0</v>
      </c>
      <c r="BF14" s="16">
        <f t="shared" ca="1" si="25"/>
        <v>0</v>
      </c>
      <c r="BG14" s="16"/>
      <c r="BH14" s="16">
        <f t="shared" ca="1" si="26"/>
        <v>45339</v>
      </c>
      <c r="BI14" s="16">
        <f t="shared" ca="1" si="27"/>
        <v>832788</v>
      </c>
      <c r="BJ14" s="16">
        <f t="shared" ca="1" si="28"/>
        <v>1284659</v>
      </c>
      <c r="BK14" s="16"/>
      <c r="BL14" s="18">
        <f t="shared" si="29"/>
        <v>4.1439635005739363E-2</v>
      </c>
      <c r="BM14" s="18">
        <f t="shared" si="30"/>
        <v>1.0269443110897744E-2</v>
      </c>
      <c r="BN14" s="18">
        <f t="shared" si="31"/>
        <v>1.3315000294494402E-4</v>
      </c>
      <c r="BO14" s="16"/>
      <c r="BP14" s="16">
        <f t="shared" ca="1" si="32"/>
        <v>1035</v>
      </c>
      <c r="BQ14" s="16">
        <f t="shared" ca="1" si="33"/>
        <v>0</v>
      </c>
      <c r="BR14" s="16">
        <f t="shared" ca="1" si="34"/>
        <v>0</v>
      </c>
      <c r="BS14" s="16"/>
      <c r="BT14" s="16">
        <f t="shared" ca="1" si="42"/>
        <v>1035</v>
      </c>
      <c r="BU14" s="20">
        <f t="shared" ca="1" si="44"/>
        <v>6.0526315789473681</v>
      </c>
      <c r="BV14" s="17">
        <f t="shared" ca="1" si="45"/>
        <v>4.4136460554371003E-2</v>
      </c>
    </row>
    <row r="15" spans="1:74" s="9" customFormat="1" ht="13" customHeight="1" x14ac:dyDescent="0.3">
      <c r="A15" s="15" t="s">
        <v>68</v>
      </c>
      <c r="B15" s="59">
        <v>4</v>
      </c>
      <c r="D15" s="35">
        <f t="shared" si="43"/>
        <v>10</v>
      </c>
      <c r="E15" s="38">
        <f t="shared" si="35"/>
        <v>43908</v>
      </c>
      <c r="F15" s="16"/>
      <c r="G15" s="43">
        <f t="shared" si="36"/>
        <v>1.7944106480117601</v>
      </c>
      <c r="H15" s="37">
        <f t="shared" si="0"/>
        <v>4.4065284060144023</v>
      </c>
      <c r="I15" s="16">
        <f t="shared" si="37"/>
        <v>85454.688240656702</v>
      </c>
      <c r="J15" s="16">
        <f t="shared" si="1"/>
        <v>17090.937648131341</v>
      </c>
      <c r="K15" s="16">
        <f>SUM(I$5:I15)</f>
        <v>128243.6838406724</v>
      </c>
      <c r="L15" s="16">
        <f t="shared" ca="1" si="2"/>
        <v>126.78359602736494</v>
      </c>
      <c r="M15" s="16">
        <f t="shared" ca="1" si="3"/>
        <v>25.356719205472988</v>
      </c>
      <c r="N15" s="16">
        <f ca="1">SUM(L$5:L15)</f>
        <v>190.19010550678362</v>
      </c>
      <c r="O15" s="16"/>
      <c r="P15" s="27">
        <f t="shared" ca="1" si="38"/>
        <v>3.0396135265700481</v>
      </c>
      <c r="Q15" s="37">
        <f t="shared" ca="1" si="4"/>
        <v>2.9154127260308718</v>
      </c>
      <c r="R15" s="16">
        <f t="shared" ca="1" si="5"/>
        <v>1035</v>
      </c>
      <c r="S15" s="16">
        <f t="shared" ca="1" si="6"/>
        <v>207</v>
      </c>
      <c r="T15" s="16">
        <f ca="1">SUM(R$5:R15)</f>
        <v>1378</v>
      </c>
      <c r="U15" s="16"/>
      <c r="V15" s="17">
        <f t="shared" ca="1" si="7"/>
        <v>1.0745168562936806E-2</v>
      </c>
      <c r="W15" s="46">
        <f t="shared" ca="1" si="39"/>
        <v>1.2111681890234536E-2</v>
      </c>
      <c r="X15" s="48">
        <f t="shared" ca="1" si="8"/>
        <v>4.4136460554371003E-2</v>
      </c>
      <c r="Y15" s="17"/>
      <c r="Z15" s="27">
        <f t="shared" si="40"/>
        <v>2.7448529411764704</v>
      </c>
      <c r="AA15" s="16">
        <f t="shared" si="41"/>
        <v>1360</v>
      </c>
      <c r="AB15" s="16">
        <f t="shared" si="9"/>
        <v>272</v>
      </c>
      <c r="AC15" s="16">
        <f>SUM(AA$5:AA15)</f>
        <v>1948</v>
      </c>
      <c r="AD15" s="67">
        <f t="shared" si="10"/>
        <v>5.7995735607675909E-2</v>
      </c>
      <c r="AE15" s="16"/>
      <c r="AF15" s="16">
        <f>VLOOKUP($E15,data!$A$2:$G$144,7)</f>
        <v>72</v>
      </c>
      <c r="AG15" s="16">
        <f t="shared" si="11"/>
        <v>14.4</v>
      </c>
      <c r="AH15" s="16"/>
      <c r="AI15" s="42">
        <f>VLOOKUP($E15,data!$A$2:$E$144,5)</f>
        <v>23450</v>
      </c>
      <c r="AJ15" s="42">
        <f t="shared" si="12"/>
        <v>4690</v>
      </c>
      <c r="AK15" s="32"/>
      <c r="AL15" s="56">
        <f t="shared" si="13"/>
        <v>1.8</v>
      </c>
      <c r="AM15" s="16">
        <f t="shared" si="14"/>
        <v>65871756.31615933</v>
      </c>
      <c r="AN15" s="16"/>
      <c r="AO15" s="16">
        <f t="shared" si="15"/>
        <v>8545</v>
      </c>
      <c r="AP15" s="16">
        <f t="shared" si="16"/>
        <v>51273</v>
      </c>
      <c r="AQ15" s="16">
        <f t="shared" si="17"/>
        <v>25636.688240656702</v>
      </c>
      <c r="AR15" s="16"/>
      <c r="AS15" s="16">
        <f t="shared" si="18"/>
        <v>74460</v>
      </c>
      <c r="AT15" s="16">
        <f t="shared" si="19"/>
        <v>1699137</v>
      </c>
      <c r="AU15" s="16">
        <f t="shared" si="20"/>
        <v>64226403</v>
      </c>
      <c r="AV15" s="16"/>
      <c r="AW15" s="16">
        <f ca="1">ROUND(AS15*Desire_severe*(1-SUM($BD$5:$BF14)/Population),0)</f>
        <v>74397</v>
      </c>
      <c r="AX15" s="16">
        <f ca="1">ROUND(AT15*Desire_mild*(1-SUM($BD$5:$BF14)/Population),0)</f>
        <v>848846</v>
      </c>
      <c r="AY15" s="16">
        <f ca="1">ROUND(AU15*Desire_asy*(1-SUM($BD$5:$BF14)/Population),0)</f>
        <v>1283436</v>
      </c>
      <c r="AZ15" s="16"/>
      <c r="BA15" s="42">
        <f>VLOOKUP($E15,data!$A$2:$F$144,6)</f>
        <v>1360</v>
      </c>
      <c r="BB15" s="42">
        <f t="shared" ca="1" si="22"/>
        <v>27724</v>
      </c>
      <c r="BC15" s="16"/>
      <c r="BD15" s="16">
        <f t="shared" ca="1" si="23"/>
        <v>27724</v>
      </c>
      <c r="BE15" s="16">
        <f t="shared" ca="1" si="24"/>
        <v>0</v>
      </c>
      <c r="BF15" s="16">
        <f t="shared" ca="1" si="25"/>
        <v>0</v>
      </c>
      <c r="BG15" s="16"/>
      <c r="BH15" s="16">
        <f t="shared" ca="1" si="26"/>
        <v>46673</v>
      </c>
      <c r="BI15" s="16">
        <f t="shared" ca="1" si="27"/>
        <v>848846</v>
      </c>
      <c r="BJ15" s="16">
        <f t="shared" ca="1" si="28"/>
        <v>1283436</v>
      </c>
      <c r="BK15" s="16"/>
      <c r="BL15" s="18">
        <f t="shared" si="29"/>
        <v>0.11475960247112543</v>
      </c>
      <c r="BM15" s="18">
        <f t="shared" si="30"/>
        <v>3.0175906945702435E-2</v>
      </c>
      <c r="BN15" s="18">
        <f t="shared" si="31"/>
        <v>3.9916120229645588E-4</v>
      </c>
      <c r="BO15" s="16"/>
      <c r="BP15" s="16">
        <f t="shared" ca="1" si="32"/>
        <v>3146</v>
      </c>
      <c r="BQ15" s="16">
        <f t="shared" ca="1" si="33"/>
        <v>0</v>
      </c>
      <c r="BR15" s="16">
        <f t="shared" ca="1" si="34"/>
        <v>0</v>
      </c>
      <c r="BS15" s="16"/>
      <c r="BT15" s="16">
        <f t="shared" ca="1" si="42"/>
        <v>3146</v>
      </c>
      <c r="BU15" s="20">
        <f t="shared" ca="1" si="44"/>
        <v>3.0396135265700481</v>
      </c>
      <c r="BV15" s="17">
        <f t="shared" ca="1" si="45"/>
        <v>0.11347568893377578</v>
      </c>
    </row>
    <row r="16" spans="1:74" s="9" customFormat="1" ht="13" customHeight="1" x14ac:dyDescent="0.3">
      <c r="D16" s="35">
        <f t="shared" si="43"/>
        <v>11</v>
      </c>
      <c r="E16" s="38">
        <f t="shared" si="35"/>
        <v>43913</v>
      </c>
      <c r="F16" s="16"/>
      <c r="G16" s="43">
        <f t="shared" si="36"/>
        <v>1.7885779064721368</v>
      </c>
      <c r="H16" s="37">
        <f t="shared" si="0"/>
        <v>5.0962240046219236</v>
      </c>
      <c r="I16" s="16">
        <f t="shared" si="37"/>
        <v>153340.80250155972</v>
      </c>
      <c r="J16" s="16">
        <f t="shared" si="1"/>
        <v>30668.160500311944</v>
      </c>
      <c r="K16" s="16">
        <f>SUM(I$5:I16)</f>
        <v>281584.48634223209</v>
      </c>
      <c r="L16" s="16">
        <f t="shared" ca="1" si="2"/>
        <v>379.97658617936662</v>
      </c>
      <c r="M16" s="16">
        <f t="shared" ca="1" si="3"/>
        <v>75.99531723587333</v>
      </c>
      <c r="N16" s="16">
        <f ca="1">SUM(L$5:L16)</f>
        <v>570.16669168615022</v>
      </c>
      <c r="O16" s="16"/>
      <c r="P16" s="27">
        <f t="shared" ca="1" si="38"/>
        <v>2.1481246026700571</v>
      </c>
      <c r="Q16" s="37">
        <f t="shared" ca="1" si="4"/>
        <v>3.7926137868483414</v>
      </c>
      <c r="R16" s="16">
        <f t="shared" ca="1" si="5"/>
        <v>3146</v>
      </c>
      <c r="S16" s="16">
        <f t="shared" ca="1" si="6"/>
        <v>629.20000000000005</v>
      </c>
      <c r="T16" s="16">
        <f ca="1">SUM(R$5:R16)</f>
        <v>4524</v>
      </c>
      <c r="U16" s="16"/>
      <c r="V16" s="17">
        <f t="shared" ca="1" si="7"/>
        <v>1.606622601538361E-2</v>
      </c>
      <c r="W16" s="46">
        <f t="shared" ca="1" si="39"/>
        <v>2.0516391910548402E-2</v>
      </c>
      <c r="X16" s="48">
        <f t="shared" ca="1" si="8"/>
        <v>0.11347568893377578</v>
      </c>
      <c r="Y16" s="17"/>
      <c r="Z16" s="27">
        <f t="shared" si="40"/>
        <v>2.373426198767747</v>
      </c>
      <c r="AA16" s="16">
        <f t="shared" si="41"/>
        <v>3733</v>
      </c>
      <c r="AB16" s="16">
        <f t="shared" si="9"/>
        <v>746.6</v>
      </c>
      <c r="AC16" s="16">
        <f>SUM(AA$5:AA16)</f>
        <v>5681</v>
      </c>
      <c r="AD16" s="67">
        <f t="shared" si="10"/>
        <v>0.13464867984417833</v>
      </c>
      <c r="AE16" s="16"/>
      <c r="AF16" s="16">
        <f>VLOOKUP($E16,data!$A$2:$G$144,7)</f>
        <v>204</v>
      </c>
      <c r="AG16" s="16">
        <f t="shared" si="11"/>
        <v>40.799999999999997</v>
      </c>
      <c r="AH16" s="16"/>
      <c r="AI16" s="42">
        <f>VLOOKUP($E16,data!$A$2:$E$144,5)</f>
        <v>27724</v>
      </c>
      <c r="AJ16" s="42">
        <f t="shared" si="12"/>
        <v>5544.8</v>
      </c>
      <c r="AK16" s="32"/>
      <c r="AL16" s="56">
        <f t="shared" si="13"/>
        <v>1.8</v>
      </c>
      <c r="AM16" s="16">
        <f t="shared" si="14"/>
        <v>65718415.513657771</v>
      </c>
      <c r="AN16" s="16"/>
      <c r="AO16" s="16">
        <f t="shared" si="15"/>
        <v>15334</v>
      </c>
      <c r="AP16" s="16">
        <f t="shared" si="16"/>
        <v>92004</v>
      </c>
      <c r="AQ16" s="16">
        <f t="shared" si="17"/>
        <v>46002.802501559723</v>
      </c>
      <c r="AR16" s="16"/>
      <c r="AS16" s="16">
        <f t="shared" si="18"/>
        <v>81181</v>
      </c>
      <c r="AT16" s="16">
        <f t="shared" si="19"/>
        <v>1738170</v>
      </c>
      <c r="AU16" s="16">
        <f t="shared" si="20"/>
        <v>64180649</v>
      </c>
      <c r="AV16" s="16"/>
      <c r="AW16" s="16">
        <f ca="1">ROUND(AS16*Desire_severe*(1-SUM($BD$5:$BF15)/Population),0)</f>
        <v>81078</v>
      </c>
      <c r="AX16" s="16">
        <f ca="1">ROUND(AT16*Desire_mild*(1-SUM($BD$5:$BF15)/Population),0)</f>
        <v>867981</v>
      </c>
      <c r="AY16" s="16">
        <f ca="1">ROUND(AU16*Desire_asy*(1-SUM($BD$5:$BF15)/Population),0)</f>
        <v>1281982</v>
      </c>
      <c r="AZ16" s="16"/>
      <c r="BA16" s="42">
        <f>VLOOKUP($E16,data!$A$2:$F$144,6)</f>
        <v>3733</v>
      </c>
      <c r="BB16" s="42">
        <f t="shared" ca="1" si="22"/>
        <v>36831</v>
      </c>
      <c r="BC16" s="16"/>
      <c r="BD16" s="16">
        <f t="shared" ca="1" si="23"/>
        <v>36831</v>
      </c>
      <c r="BE16" s="16">
        <f t="shared" ca="1" si="24"/>
        <v>0</v>
      </c>
      <c r="BF16" s="16">
        <f t="shared" ca="1" si="25"/>
        <v>0</v>
      </c>
      <c r="BG16" s="16"/>
      <c r="BH16" s="16">
        <f t="shared" ca="1" si="26"/>
        <v>44247</v>
      </c>
      <c r="BI16" s="16">
        <f t="shared" ca="1" si="27"/>
        <v>867981</v>
      </c>
      <c r="BJ16" s="16">
        <f t="shared" ca="1" si="28"/>
        <v>1281982</v>
      </c>
      <c r="BK16" s="16"/>
      <c r="BL16" s="18">
        <f t="shared" si="29"/>
        <v>0.18888656212660598</v>
      </c>
      <c r="BM16" s="18">
        <f t="shared" si="30"/>
        <v>5.2931531438236763E-2</v>
      </c>
      <c r="BN16" s="18">
        <f t="shared" si="31"/>
        <v>7.1677060326329396E-4</v>
      </c>
      <c r="BO16" s="16"/>
      <c r="BP16" s="16">
        <f t="shared" ca="1" si="32"/>
        <v>6758</v>
      </c>
      <c r="BQ16" s="16">
        <f t="shared" ca="1" si="33"/>
        <v>0</v>
      </c>
      <c r="BR16" s="16">
        <f t="shared" ca="1" si="34"/>
        <v>0</v>
      </c>
      <c r="BS16" s="16"/>
      <c r="BT16" s="16">
        <f t="shared" ca="1" si="42"/>
        <v>6758</v>
      </c>
      <c r="BU16" s="20">
        <f t="shared" ca="1" si="44"/>
        <v>2.1481246026700571</v>
      </c>
      <c r="BV16" s="17">
        <f t="shared" ca="1" si="45"/>
        <v>0.18348673671635307</v>
      </c>
    </row>
    <row r="17" spans="1:74" s="9" customFormat="1" ht="13" customHeight="1" x14ac:dyDescent="0.3">
      <c r="A17" s="15" t="s">
        <v>60</v>
      </c>
      <c r="B17" s="22">
        <v>43858</v>
      </c>
      <c r="D17" s="35">
        <f t="shared" si="43"/>
        <v>12</v>
      </c>
      <c r="E17" s="38">
        <f t="shared" si="35"/>
        <v>43918</v>
      </c>
      <c r="F17" s="16"/>
      <c r="G17" s="43">
        <f t="shared" si="36"/>
        <v>1.77818199972098</v>
      </c>
      <c r="H17" s="37">
        <f t="shared" si="0"/>
        <v>5.5022479407397888</v>
      </c>
      <c r="I17" s="16">
        <f t="shared" si="37"/>
        <v>274261.97151499707</v>
      </c>
      <c r="J17" s="16">
        <f t="shared" si="1"/>
        <v>54852.394302999412</v>
      </c>
      <c r="K17" s="16">
        <f>SUM(I$5:I17)</f>
        <v>555846.45785722916</v>
      </c>
      <c r="L17" s="16">
        <f t="shared" ca="1" si="2"/>
        <v>830.48622672223905</v>
      </c>
      <c r="M17" s="16">
        <f t="shared" ca="1" si="3"/>
        <v>166.0972453444478</v>
      </c>
      <c r="N17" s="16">
        <f ca="1">SUM(L$5:L17)</f>
        <v>1400.6529184083893</v>
      </c>
      <c r="O17" s="16"/>
      <c r="P17" s="27">
        <f t="shared" ca="1" si="38"/>
        <v>1.7777448949393311</v>
      </c>
      <c r="Q17" s="37">
        <f t="shared" ca="1" si="4"/>
        <v>4.7798432011837884</v>
      </c>
      <c r="R17" s="16">
        <f t="shared" ca="1" si="5"/>
        <v>6758</v>
      </c>
      <c r="S17" s="16">
        <f t="shared" ca="1" si="6"/>
        <v>1351.6</v>
      </c>
      <c r="T17" s="16">
        <f ca="1">SUM(R$5:R17)</f>
        <v>11282</v>
      </c>
      <c r="U17" s="16"/>
      <c r="V17" s="17">
        <f t="shared" ca="1" si="7"/>
        <v>2.0296972015422677E-2</v>
      </c>
      <c r="W17" s="46">
        <f t="shared" ca="1" si="39"/>
        <v>2.4640674617299109E-2</v>
      </c>
      <c r="X17" s="48">
        <f t="shared" ca="1" si="8"/>
        <v>0.18348673671635307</v>
      </c>
      <c r="Y17" s="17"/>
      <c r="Z17" s="27">
        <f t="shared" si="40"/>
        <v>1.685214446952596</v>
      </c>
      <c r="AA17" s="16">
        <f t="shared" si="41"/>
        <v>8860</v>
      </c>
      <c r="AB17" s="16">
        <f t="shared" si="9"/>
        <v>1772</v>
      </c>
      <c r="AC17" s="16">
        <f>SUM(AA$5:AA17)</f>
        <v>14541</v>
      </c>
      <c r="AD17" s="67">
        <f t="shared" si="10"/>
        <v>0.24055822540794439</v>
      </c>
      <c r="AE17" s="16"/>
      <c r="AF17" s="16">
        <f>VLOOKUP($E17,data!$A$2:$G$144,7)</f>
        <v>876</v>
      </c>
      <c r="AG17" s="16">
        <f t="shared" si="11"/>
        <v>175.2</v>
      </c>
      <c r="AH17" s="16"/>
      <c r="AI17" s="42">
        <f>VLOOKUP($E17,data!$A$2:$E$144,5)</f>
        <v>36831</v>
      </c>
      <c r="AJ17" s="42">
        <f t="shared" si="12"/>
        <v>7366.2</v>
      </c>
      <c r="AK17" s="32"/>
      <c r="AL17" s="56">
        <f t="shared" si="13"/>
        <v>1.8</v>
      </c>
      <c r="AM17" s="16">
        <f t="shared" si="14"/>
        <v>65444153.542142771</v>
      </c>
      <c r="AN17" s="16"/>
      <c r="AO17" s="16">
        <f t="shared" si="15"/>
        <v>27426</v>
      </c>
      <c r="AP17" s="16">
        <f t="shared" si="16"/>
        <v>164557</v>
      </c>
      <c r="AQ17" s="16">
        <f t="shared" si="17"/>
        <v>82278.971514997073</v>
      </c>
      <c r="AR17" s="16"/>
      <c r="AS17" s="16">
        <f t="shared" si="18"/>
        <v>93152</v>
      </c>
      <c r="AT17" s="16">
        <f t="shared" si="19"/>
        <v>1807700</v>
      </c>
      <c r="AU17" s="16">
        <f t="shared" si="20"/>
        <v>64099148</v>
      </c>
      <c r="AV17" s="16"/>
      <c r="AW17" s="16">
        <f ca="1">ROUND(AS17*Desire_severe*(1-SUM($BD$5:$BF16)/Population),0)</f>
        <v>92982</v>
      </c>
      <c r="AX17" s="16">
        <f ca="1">ROUND(AT17*Desire_mild*(1-SUM($BD$5:$BF16)/Population),0)</f>
        <v>902197</v>
      </c>
      <c r="AY17" s="16">
        <f ca="1">ROUND(AU17*Desire_asy*(1-SUM($BD$5:$BF16)/Population),0)</f>
        <v>1279639</v>
      </c>
      <c r="AZ17" s="16"/>
      <c r="BA17" s="42">
        <f>VLOOKUP($E17,data!$A$2:$F$144,6)</f>
        <v>8860</v>
      </c>
      <c r="BB17" s="42">
        <f t="shared" ca="1" si="22"/>
        <v>42418</v>
      </c>
      <c r="BC17" s="16"/>
      <c r="BD17" s="16">
        <f t="shared" ca="1" si="23"/>
        <v>42418</v>
      </c>
      <c r="BE17" s="16">
        <f t="shared" ca="1" si="24"/>
        <v>0</v>
      </c>
      <c r="BF17" s="16">
        <f t="shared" ca="1" si="25"/>
        <v>0</v>
      </c>
      <c r="BG17" s="16"/>
      <c r="BH17" s="16">
        <f t="shared" ca="1" si="26"/>
        <v>50564</v>
      </c>
      <c r="BI17" s="16">
        <f t="shared" ca="1" si="27"/>
        <v>902197</v>
      </c>
      <c r="BJ17" s="16">
        <f t="shared" ca="1" si="28"/>
        <v>1279639</v>
      </c>
      <c r="BK17" s="16"/>
      <c r="BL17" s="18">
        <f t="shared" si="29"/>
        <v>0.29442201992442457</v>
      </c>
      <c r="BM17" s="18">
        <f t="shared" si="30"/>
        <v>9.1031144548321077E-2</v>
      </c>
      <c r="BN17" s="18">
        <f t="shared" si="31"/>
        <v>1.2836203613033525E-3</v>
      </c>
      <c r="BO17" s="16"/>
      <c r="BP17" s="16">
        <f t="shared" ca="1" si="32"/>
        <v>12014</v>
      </c>
      <c r="BQ17" s="16">
        <f t="shared" ca="1" si="33"/>
        <v>0</v>
      </c>
      <c r="BR17" s="16">
        <f t="shared" ca="1" si="34"/>
        <v>0</v>
      </c>
      <c r="BS17" s="16"/>
      <c r="BT17" s="16">
        <f t="shared" ca="1" si="42"/>
        <v>12014</v>
      </c>
      <c r="BU17" s="20">
        <f t="shared" ca="1" si="44"/>
        <v>1.7777448949393311</v>
      </c>
      <c r="BV17" s="17">
        <f t="shared" ca="1" si="45"/>
        <v>0.28322881795464189</v>
      </c>
    </row>
    <row r="18" spans="1:74" s="9" customFormat="1" ht="13" customHeight="1" x14ac:dyDescent="0.3">
      <c r="A18" s="15" t="s">
        <v>37</v>
      </c>
      <c r="B18" s="8">
        <v>5</v>
      </c>
      <c r="D18" s="35">
        <f t="shared" si="43"/>
        <v>13</v>
      </c>
      <c r="E18" s="38">
        <f t="shared" si="35"/>
        <v>43923</v>
      </c>
      <c r="F18" s="16"/>
      <c r="G18" s="43">
        <f t="shared" si="36"/>
        <v>0.83393889905083729</v>
      </c>
      <c r="H18" s="37">
        <f t="shared" si="0"/>
        <v>10.530533106278618</v>
      </c>
      <c r="I18" s="16">
        <f t="shared" si="37"/>
        <v>487687.70095595595</v>
      </c>
      <c r="J18" s="16">
        <f t="shared" si="1"/>
        <v>97537.54019119119</v>
      </c>
      <c r="K18" s="16">
        <f>SUM(I$5:I18)</f>
        <v>1043534.1588131851</v>
      </c>
      <c r="L18" s="16">
        <f t="shared" ca="1" si="2"/>
        <v>1624.7379525120591</v>
      </c>
      <c r="M18" s="16">
        <f t="shared" ca="1" si="3"/>
        <v>324.9475905024118</v>
      </c>
      <c r="N18" s="16">
        <f ca="1">SUM(L$5:L18)</f>
        <v>3025.3908709204484</v>
      </c>
      <c r="O18" s="16"/>
      <c r="P18" s="27">
        <f t="shared" ca="1" si="38"/>
        <v>1.6986848676544033</v>
      </c>
      <c r="Q18" s="37">
        <f t="shared" ca="1" si="4"/>
        <v>5.5085306524172495</v>
      </c>
      <c r="R18" s="16">
        <f t="shared" ca="1" si="5"/>
        <v>12014</v>
      </c>
      <c r="S18" s="16">
        <f t="shared" ca="1" si="6"/>
        <v>2402.8000000000002</v>
      </c>
      <c r="T18" s="16">
        <f ca="1">SUM(R$5:R18)</f>
        <v>23296</v>
      </c>
      <c r="U18" s="16"/>
      <c r="V18" s="17">
        <f t="shared" ca="1" si="7"/>
        <v>2.2324137454680565E-2</v>
      </c>
      <c r="W18" s="46">
        <f t="shared" ca="1" si="39"/>
        <v>2.4634617556379607E-2</v>
      </c>
      <c r="X18" s="48">
        <f t="shared" ca="1" si="8"/>
        <v>0.28322881795464189</v>
      </c>
      <c r="Y18" s="17"/>
      <c r="Z18" s="27">
        <f t="shared" si="40"/>
        <v>1.4824191279887482</v>
      </c>
      <c r="AA18" s="16">
        <f t="shared" si="41"/>
        <v>14931</v>
      </c>
      <c r="AB18" s="16">
        <f t="shared" si="9"/>
        <v>2986.2</v>
      </c>
      <c r="AC18" s="16">
        <f>SUM(AA$5:AA18)</f>
        <v>29472</v>
      </c>
      <c r="AD18" s="67">
        <f t="shared" si="10"/>
        <v>0.35199679381394688</v>
      </c>
      <c r="AE18" s="16"/>
      <c r="AF18" s="16">
        <f>VLOOKUP($E18,data!$A$2:$G$144,7)</f>
        <v>1934</v>
      </c>
      <c r="AG18" s="16">
        <f t="shared" si="11"/>
        <v>386.8</v>
      </c>
      <c r="AH18" s="16"/>
      <c r="AI18" s="42">
        <f>VLOOKUP($E18,data!$A$2:$E$144,5)</f>
        <v>42418</v>
      </c>
      <c r="AJ18" s="42">
        <f t="shared" si="12"/>
        <v>8483.6</v>
      </c>
      <c r="AK18" s="32"/>
      <c r="AL18" s="56">
        <f t="shared" si="13"/>
        <v>0.85</v>
      </c>
      <c r="AM18" s="16">
        <f t="shared" si="14"/>
        <v>64956465.841186814</v>
      </c>
      <c r="AN18" s="16"/>
      <c r="AO18" s="16">
        <f t="shared" si="15"/>
        <v>48769</v>
      </c>
      <c r="AP18" s="16">
        <f t="shared" si="16"/>
        <v>292613</v>
      </c>
      <c r="AQ18" s="16">
        <f t="shared" si="17"/>
        <v>146305.70095595595</v>
      </c>
      <c r="AR18" s="16"/>
      <c r="AS18" s="16">
        <f t="shared" si="18"/>
        <v>114281</v>
      </c>
      <c r="AT18" s="16">
        <f t="shared" si="19"/>
        <v>1930421</v>
      </c>
      <c r="AU18" s="16">
        <f t="shared" si="20"/>
        <v>63955298</v>
      </c>
      <c r="AV18" s="16"/>
      <c r="AW18" s="16">
        <f ca="1">ROUND(AS18*Desire_severe*(1-SUM($BD$5:$BF17)/Population),0)</f>
        <v>113999</v>
      </c>
      <c r="AX18" s="16">
        <f ca="1">ROUND(AT18*Desire_mild*(1-SUM($BD$5:$BF17)/Population),0)</f>
        <v>962825</v>
      </c>
      <c r="AY18" s="16">
        <f ca="1">ROUND(AU18*Desire_asy*(1-SUM($BD$5:$BF17)/Population),0)</f>
        <v>1275945</v>
      </c>
      <c r="AZ18" s="16"/>
      <c r="BA18" s="42">
        <f>VLOOKUP($E18,data!$A$2:$F$144,6)</f>
        <v>14931</v>
      </c>
      <c r="BB18" s="42">
        <f t="shared" ca="1" si="22"/>
        <v>49987</v>
      </c>
      <c r="BC18" s="16"/>
      <c r="BD18" s="16">
        <f t="shared" ca="1" si="23"/>
        <v>49987</v>
      </c>
      <c r="BE18" s="16">
        <f t="shared" ca="1" si="24"/>
        <v>0</v>
      </c>
      <c r="BF18" s="16">
        <f t="shared" ca="1" si="25"/>
        <v>0</v>
      </c>
      <c r="BG18" s="16"/>
      <c r="BH18" s="16">
        <f t="shared" ca="1" si="26"/>
        <v>64012</v>
      </c>
      <c r="BI18" s="16">
        <f t="shared" ca="1" si="27"/>
        <v>962825</v>
      </c>
      <c r="BJ18" s="16">
        <f t="shared" ca="1" si="28"/>
        <v>1275945</v>
      </c>
      <c r="BK18" s="16"/>
      <c r="BL18" s="18">
        <f t="shared" si="29"/>
        <v>0.42674635328707311</v>
      </c>
      <c r="BM18" s="18">
        <f t="shared" si="30"/>
        <v>0.15157988853208704</v>
      </c>
      <c r="BN18" s="18">
        <f t="shared" si="31"/>
        <v>2.2876244116000516E-3</v>
      </c>
      <c r="BO18" s="16"/>
      <c r="BP18" s="16">
        <f t="shared" ca="1" si="32"/>
        <v>20408</v>
      </c>
      <c r="BQ18" s="16">
        <f t="shared" ca="1" si="33"/>
        <v>0</v>
      </c>
      <c r="BR18" s="16">
        <f t="shared" ca="1" si="34"/>
        <v>0</v>
      </c>
      <c r="BS18" s="16"/>
      <c r="BT18" s="16">
        <f t="shared" ca="1" si="42"/>
        <v>20408</v>
      </c>
      <c r="BU18" s="20">
        <f t="shared" ca="1" si="44"/>
        <v>1.6986848676544033</v>
      </c>
      <c r="BV18" s="17">
        <f t="shared" ca="1" si="45"/>
        <v>0.40826614919879167</v>
      </c>
    </row>
    <row r="19" spans="1:74" s="9" customFormat="1" ht="13" customHeight="1" x14ac:dyDescent="0.3">
      <c r="B19" s="8"/>
      <c r="D19" s="35">
        <f t="shared" si="43"/>
        <v>14</v>
      </c>
      <c r="E19" s="38">
        <f t="shared" si="35"/>
        <v>43928</v>
      </c>
      <c r="F19" s="16"/>
      <c r="G19" s="43">
        <f t="shared" si="36"/>
        <v>0.82914936227818481</v>
      </c>
      <c r="H19" s="37">
        <f t="shared" si="0"/>
        <v>16.577302651795634</v>
      </c>
      <c r="I19" s="16">
        <f t="shared" si="37"/>
        <v>406701.74441584386</v>
      </c>
      <c r="J19" s="16">
        <f t="shared" si="1"/>
        <v>81340.348883168772</v>
      </c>
      <c r="K19" s="16">
        <f>SUM(I$5:I19)</f>
        <v>1450235.9032290289</v>
      </c>
      <c r="L19" s="16">
        <f t="shared" ca="1" si="2"/>
        <v>3002.2354896395082</v>
      </c>
      <c r="M19" s="16">
        <f t="shared" ca="1" si="3"/>
        <v>600.44709792790161</v>
      </c>
      <c r="N19" s="16">
        <f ca="1">SUM(L$5:L19)</f>
        <v>6027.6263605599561</v>
      </c>
      <c r="O19" s="16"/>
      <c r="P19" s="27">
        <f t="shared" ca="1" si="38"/>
        <v>1.1316640533124265</v>
      </c>
      <c r="Q19" s="37">
        <f t="shared" ca="1" si="4"/>
        <v>8.1691180336201779</v>
      </c>
      <c r="R19" s="16">
        <f t="shared" ca="1" si="5"/>
        <v>20408</v>
      </c>
      <c r="S19" s="16">
        <f t="shared" ca="1" si="6"/>
        <v>4081.6</v>
      </c>
      <c r="T19" s="16">
        <f ca="1">SUM(R$5:R19)</f>
        <v>43704</v>
      </c>
      <c r="U19" s="16"/>
      <c r="V19" s="17">
        <f t="shared" ca="1" si="7"/>
        <v>3.0135786807298504E-2</v>
      </c>
      <c r="W19" s="46">
        <f t="shared" ca="1" si="39"/>
        <v>5.0179278255401964E-2</v>
      </c>
      <c r="X19" s="48">
        <f t="shared" ca="1" si="8"/>
        <v>0.40826614919879167</v>
      </c>
      <c r="Y19" s="17"/>
      <c r="Z19" s="27">
        <f t="shared" si="40"/>
        <v>1.2371464714918226</v>
      </c>
      <c r="AA19" s="16">
        <f t="shared" si="41"/>
        <v>22134</v>
      </c>
      <c r="AB19" s="16">
        <f t="shared" si="9"/>
        <v>4426.8</v>
      </c>
      <c r="AC19" s="16">
        <f>SUM(AA$5:AA19)</f>
        <v>51606</v>
      </c>
      <c r="AD19" s="67">
        <f t="shared" si="10"/>
        <v>0.44279512673295057</v>
      </c>
      <c r="AE19" s="16"/>
      <c r="AF19" s="16">
        <f>VLOOKUP($E19,data!$A$2:$G$144,7)</f>
        <v>3338</v>
      </c>
      <c r="AG19" s="16">
        <f t="shared" si="11"/>
        <v>667.6</v>
      </c>
      <c r="AH19" s="16"/>
      <c r="AI19" s="42">
        <f>VLOOKUP($E19,data!$A$2:$E$144,5)</f>
        <v>49987</v>
      </c>
      <c r="AJ19" s="42">
        <f t="shared" si="12"/>
        <v>9997.4</v>
      </c>
      <c r="AK19" s="32"/>
      <c r="AL19" s="56">
        <f t="shared" si="13"/>
        <v>0.85</v>
      </c>
      <c r="AM19" s="16">
        <f t="shared" si="14"/>
        <v>64549764.096770972</v>
      </c>
      <c r="AN19" s="16"/>
      <c r="AO19" s="16">
        <f t="shared" si="15"/>
        <v>40670</v>
      </c>
      <c r="AP19" s="16">
        <f t="shared" si="16"/>
        <v>244021</v>
      </c>
      <c r="AQ19" s="16">
        <f t="shared" si="17"/>
        <v>122010.74441584386</v>
      </c>
      <c r="AR19" s="16"/>
      <c r="AS19" s="16">
        <f t="shared" si="18"/>
        <v>106263</v>
      </c>
      <c r="AT19" s="16">
        <f t="shared" si="19"/>
        <v>1883853</v>
      </c>
      <c r="AU19" s="16">
        <f t="shared" si="20"/>
        <v>64009884</v>
      </c>
      <c r="AV19" s="16"/>
      <c r="AW19" s="16">
        <f ca="1">ROUND(AS19*Desire_severe*(1-SUM($BD$5:$BF18)/Population),0)</f>
        <v>105920</v>
      </c>
      <c r="AX19" s="16">
        <f ca="1">ROUND(AT19*Desire_mild*(1-SUM($BD$5:$BF18)/Population),0)</f>
        <v>938885</v>
      </c>
      <c r="AY19" s="16">
        <f ca="1">ROUND(AU19*Desire_asy*(1-SUM($BD$5:$BF18)/Population),0)</f>
        <v>1276065</v>
      </c>
      <c r="AZ19" s="16"/>
      <c r="BA19" s="42">
        <f>VLOOKUP($E19,data!$A$2:$F$144,6)</f>
        <v>22134</v>
      </c>
      <c r="BB19" s="42">
        <f t="shared" ca="1" si="22"/>
        <v>62984</v>
      </c>
      <c r="BC19" s="16"/>
      <c r="BD19" s="16">
        <f t="shared" ca="1" si="23"/>
        <v>62984</v>
      </c>
      <c r="BE19" s="16">
        <f t="shared" ca="1" si="24"/>
        <v>0</v>
      </c>
      <c r="BF19" s="16">
        <f t="shared" ca="1" si="25"/>
        <v>0</v>
      </c>
      <c r="BG19" s="16"/>
      <c r="BH19" s="16">
        <f t="shared" ca="1" si="26"/>
        <v>42936</v>
      </c>
      <c r="BI19" s="16">
        <f t="shared" ca="1" si="27"/>
        <v>938885</v>
      </c>
      <c r="BJ19" s="16">
        <f t="shared" ca="1" si="28"/>
        <v>1276065</v>
      </c>
      <c r="BK19" s="16"/>
      <c r="BL19" s="18">
        <f t="shared" si="29"/>
        <v>0.3827296424908011</v>
      </c>
      <c r="BM19" s="18">
        <f t="shared" si="30"/>
        <v>0.12953293064798579</v>
      </c>
      <c r="BN19" s="18">
        <f t="shared" si="31"/>
        <v>1.9061235045488266E-3</v>
      </c>
      <c r="BO19" s="16"/>
      <c r="BP19" s="16">
        <f t="shared" ca="1" si="32"/>
        <v>23095</v>
      </c>
      <c r="BQ19" s="16">
        <f t="shared" ca="1" si="33"/>
        <v>0</v>
      </c>
      <c r="BR19" s="16">
        <f t="shared" ca="1" si="34"/>
        <v>0</v>
      </c>
      <c r="BS19" s="16"/>
      <c r="BT19" s="16">
        <f t="shared" ca="1" si="42"/>
        <v>23095</v>
      </c>
      <c r="BU19" s="20">
        <f t="shared" ca="1" si="44"/>
        <v>1.1316640533124265</v>
      </c>
      <c r="BV19" s="17">
        <f t="shared" ca="1" si="45"/>
        <v>0.36668042677505397</v>
      </c>
    </row>
    <row r="20" spans="1:74" s="9" customFormat="1" ht="13" customHeight="1" x14ac:dyDescent="0.3">
      <c r="A20" s="7" t="s">
        <v>5</v>
      </c>
      <c r="B20" s="23"/>
      <c r="D20" s="35">
        <f t="shared" si="43"/>
        <v>15</v>
      </c>
      <c r="E20" s="38">
        <f t="shared" si="35"/>
        <v>43933</v>
      </c>
      <c r="F20" s="16"/>
      <c r="G20" s="43">
        <f t="shared" si="36"/>
        <v>0.82518662317689329</v>
      </c>
      <c r="H20" s="37">
        <f t="shared" si="0"/>
        <v>23.95334061329784</v>
      </c>
      <c r="I20" s="16">
        <f t="shared" si="37"/>
        <v>337216.49201982224</v>
      </c>
      <c r="J20" s="16">
        <f t="shared" si="1"/>
        <v>67443.298403964451</v>
      </c>
      <c r="K20" s="16">
        <f>SUM(I$5:I20)</f>
        <v>1787452.3952488513</v>
      </c>
      <c r="L20" s="16">
        <f t="shared" ca="1" si="2"/>
        <v>3965.9766581650701</v>
      </c>
      <c r="M20" s="16">
        <f t="shared" ca="1" si="3"/>
        <v>793.19533163301401</v>
      </c>
      <c r="N20" s="16">
        <f ca="1">SUM(L$5:L20)</f>
        <v>9993.6030187250253</v>
      </c>
      <c r="O20" s="16"/>
      <c r="P20" s="27">
        <f t="shared" ca="1" si="38"/>
        <v>0.86819657934617878</v>
      </c>
      <c r="Q20" s="37">
        <f t="shared" ca="1" si="4"/>
        <v>13.20308599450961</v>
      </c>
      <c r="R20" s="16">
        <f t="shared" ca="1" si="5"/>
        <v>23095</v>
      </c>
      <c r="S20" s="16">
        <f t="shared" ca="1" si="6"/>
        <v>4619</v>
      </c>
      <c r="T20" s="16">
        <f ca="1">SUM(R$5:R20)</f>
        <v>66799</v>
      </c>
      <c r="U20" s="16"/>
      <c r="V20" s="17">
        <f t="shared" ca="1" si="7"/>
        <v>3.7371065197347626E-2</v>
      </c>
      <c r="W20" s="46">
        <f t="shared" ca="1" si="39"/>
        <v>6.8487160463796146E-2</v>
      </c>
      <c r="X20" s="48">
        <f t="shared" ca="1" si="8"/>
        <v>0.36668042677505397</v>
      </c>
      <c r="Y20" s="17"/>
      <c r="Z20" s="27">
        <f t="shared" si="40"/>
        <v>0.88018113428039291</v>
      </c>
      <c r="AA20" s="16">
        <f t="shared" si="41"/>
        <v>27383</v>
      </c>
      <c r="AB20" s="16">
        <f t="shared" si="9"/>
        <v>5476.6</v>
      </c>
      <c r="AC20" s="16">
        <f>SUM(AA$5:AA20)</f>
        <v>78989</v>
      </c>
      <c r="AD20" s="67">
        <f t="shared" si="10"/>
        <v>0.43476120919598626</v>
      </c>
      <c r="AE20" s="16"/>
      <c r="AF20" s="16">
        <f>VLOOKUP($E20,data!$A$2:$G$144,7)</f>
        <v>5166</v>
      </c>
      <c r="AG20" s="16">
        <f t="shared" si="11"/>
        <v>1033.2</v>
      </c>
      <c r="AH20" s="16"/>
      <c r="AI20" s="42">
        <f>VLOOKUP($E20,data!$A$2:$E$144,5)</f>
        <v>62984</v>
      </c>
      <c r="AJ20" s="42">
        <f t="shared" si="12"/>
        <v>12596.8</v>
      </c>
      <c r="AK20" s="32"/>
      <c r="AL20" s="56">
        <f t="shared" si="13"/>
        <v>0.85</v>
      </c>
      <c r="AM20" s="16">
        <f t="shared" si="14"/>
        <v>64212547.604751147</v>
      </c>
      <c r="AN20" s="16"/>
      <c r="AO20" s="16">
        <f t="shared" si="15"/>
        <v>33722</v>
      </c>
      <c r="AP20" s="16">
        <f t="shared" si="16"/>
        <v>202330</v>
      </c>
      <c r="AQ20" s="16">
        <f t="shared" si="17"/>
        <v>101164.49201982224</v>
      </c>
      <c r="AR20" s="16"/>
      <c r="AS20" s="16">
        <f t="shared" si="18"/>
        <v>99385</v>
      </c>
      <c r="AT20" s="16">
        <f t="shared" si="19"/>
        <v>1843900</v>
      </c>
      <c r="AU20" s="16">
        <f t="shared" si="20"/>
        <v>64056715</v>
      </c>
      <c r="AV20" s="16"/>
      <c r="AW20" s="16">
        <f ca="1">ROUND(AS20*Desire_severe*(1-SUM($BD$5:$BF19)/Population),0)</f>
        <v>98969</v>
      </c>
      <c r="AX20" s="16">
        <f ca="1">ROUND(AT20*Desire_mild*(1-SUM($BD$5:$BF19)/Population),0)</f>
        <v>918094</v>
      </c>
      <c r="AY20" s="16">
        <f ca="1">ROUND(AU20*Desire_asy*(1-SUM($BD$5:$BF19)/Population),0)</f>
        <v>1275776</v>
      </c>
      <c r="AZ20" s="16"/>
      <c r="BA20" s="42">
        <f>VLOOKUP($E20,data!$A$2:$F$144,6)</f>
        <v>27383</v>
      </c>
      <c r="BB20" s="42">
        <f t="shared" ca="1" si="22"/>
        <v>61576</v>
      </c>
      <c r="BC20" s="16"/>
      <c r="BD20" s="16">
        <f t="shared" ca="1" si="23"/>
        <v>61576</v>
      </c>
      <c r="BE20" s="16">
        <f t="shared" ca="1" si="24"/>
        <v>0</v>
      </c>
      <c r="BF20" s="16">
        <f t="shared" ca="1" si="25"/>
        <v>0</v>
      </c>
      <c r="BG20" s="16"/>
      <c r="BH20" s="16">
        <f t="shared" ca="1" si="26"/>
        <v>37393</v>
      </c>
      <c r="BI20" s="16">
        <f t="shared" ca="1" si="27"/>
        <v>918094</v>
      </c>
      <c r="BJ20" s="16">
        <f t="shared" ca="1" si="28"/>
        <v>1275776</v>
      </c>
      <c r="BK20" s="16"/>
      <c r="BL20" s="18">
        <f t="shared" si="29"/>
        <v>0.33930673642903858</v>
      </c>
      <c r="BM20" s="18">
        <f t="shared" si="30"/>
        <v>0.10972937794891263</v>
      </c>
      <c r="BN20" s="18">
        <f t="shared" si="31"/>
        <v>1.5792956604131548E-3</v>
      </c>
      <c r="BO20" s="16"/>
      <c r="BP20" s="16">
        <f t="shared" ca="1" si="32"/>
        <v>20051</v>
      </c>
      <c r="BQ20" s="16">
        <f t="shared" ca="1" si="33"/>
        <v>0</v>
      </c>
      <c r="BR20" s="16">
        <f t="shared" ca="1" si="34"/>
        <v>0</v>
      </c>
      <c r="BS20" s="16"/>
      <c r="BT20" s="16">
        <f t="shared" ca="1" si="42"/>
        <v>20051</v>
      </c>
      <c r="BU20" s="20">
        <f t="shared" ca="1" si="44"/>
        <v>0.86819657934617878</v>
      </c>
      <c r="BV20" s="17">
        <f t="shared" ca="1" si="45"/>
        <v>0.32563011562946603</v>
      </c>
    </row>
    <row r="21" spans="1:74" s="9" customFormat="1" ht="13" customHeight="1" x14ac:dyDescent="0.3">
      <c r="A21" s="15" t="s">
        <v>1</v>
      </c>
      <c r="B21" s="23">
        <v>66000000</v>
      </c>
      <c r="D21" s="35">
        <f t="shared" si="43"/>
        <v>16</v>
      </c>
      <c r="E21" s="38">
        <f t="shared" si="35"/>
        <v>43938</v>
      </c>
      <c r="F21" s="16"/>
      <c r="G21" s="43">
        <f t="shared" si="36"/>
        <v>0.82192239627995844</v>
      </c>
      <c r="H21" s="37">
        <f t="shared" si="0"/>
        <v>33.004748679392513</v>
      </c>
      <c r="I21" s="16">
        <f t="shared" si="37"/>
        <v>278266.53832939488</v>
      </c>
      <c r="J21" s="16">
        <f t="shared" si="1"/>
        <v>55653.30766587898</v>
      </c>
      <c r="K21" s="16">
        <f>SUM(I$5:I21)</f>
        <v>2065718.9335782463</v>
      </c>
      <c r="L21" s="16">
        <f t="shared" ca="1" si="2"/>
        <v>4517.6037267198571</v>
      </c>
      <c r="M21" s="16">
        <f t="shared" ca="1" si="3"/>
        <v>903.52074534397138</v>
      </c>
      <c r="N21" s="16">
        <f ca="1">SUM(L$5:L21)</f>
        <v>14511.206745444882</v>
      </c>
      <c r="O21" s="16"/>
      <c r="P21" s="27">
        <f t="shared" ca="1" si="38"/>
        <v>1.0083287616577727</v>
      </c>
      <c r="Q21" s="37">
        <f t="shared" ca="1" si="4"/>
        <v>16.560151535279346</v>
      </c>
      <c r="R21" s="16">
        <f t="shared" ca="1" si="5"/>
        <v>20051</v>
      </c>
      <c r="S21" s="16">
        <f t="shared" ca="1" si="6"/>
        <v>4010.2</v>
      </c>
      <c r="T21" s="16">
        <f ca="1">SUM(R$5:R21)</f>
        <v>86850</v>
      </c>
      <c r="U21" s="16"/>
      <c r="V21" s="17">
        <f t="shared" ca="1" si="7"/>
        <v>4.204347386677533E-2</v>
      </c>
      <c r="W21" s="46">
        <f t="shared" ca="1" si="39"/>
        <v>7.2056813299861633E-2</v>
      </c>
      <c r="X21" s="48">
        <f t="shared" ca="1" si="8"/>
        <v>0.32563011562946603</v>
      </c>
      <c r="Y21" s="17"/>
      <c r="Z21" s="27">
        <f t="shared" si="40"/>
        <v>1.0767156252593146</v>
      </c>
      <c r="AA21" s="16">
        <f t="shared" si="41"/>
        <v>24102</v>
      </c>
      <c r="AB21" s="16">
        <f t="shared" si="9"/>
        <v>4820.3999999999996</v>
      </c>
      <c r="AC21" s="16">
        <f>SUM(AA$5:AA21)</f>
        <v>103091</v>
      </c>
      <c r="AD21" s="67">
        <f t="shared" si="10"/>
        <v>0.39141873457191112</v>
      </c>
      <c r="AE21" s="16"/>
      <c r="AF21" s="16">
        <f>VLOOKUP($E21,data!$A$2:$G$144,7)</f>
        <v>4345</v>
      </c>
      <c r="AG21" s="16">
        <f t="shared" si="11"/>
        <v>869</v>
      </c>
      <c r="AH21" s="16"/>
      <c r="AI21" s="42">
        <f>VLOOKUP($E21,data!$A$2:$E$144,5)</f>
        <v>61576</v>
      </c>
      <c r="AJ21" s="42">
        <f t="shared" si="12"/>
        <v>12315.2</v>
      </c>
      <c r="AK21" s="32"/>
      <c r="AL21" s="56">
        <f t="shared" si="13"/>
        <v>0.85</v>
      </c>
      <c r="AM21" s="16">
        <f t="shared" si="14"/>
        <v>63934281.066421755</v>
      </c>
      <c r="AN21" s="16"/>
      <c r="AO21" s="16">
        <f t="shared" si="15"/>
        <v>27827</v>
      </c>
      <c r="AP21" s="16">
        <f t="shared" si="16"/>
        <v>166960</v>
      </c>
      <c r="AQ21" s="16">
        <f t="shared" si="17"/>
        <v>83479.538329394883</v>
      </c>
      <c r="AR21" s="16"/>
      <c r="AS21" s="16">
        <f t="shared" si="18"/>
        <v>93549</v>
      </c>
      <c r="AT21" s="16">
        <f t="shared" si="19"/>
        <v>1810003</v>
      </c>
      <c r="AU21" s="16">
        <f t="shared" si="20"/>
        <v>64096448</v>
      </c>
      <c r="AV21" s="16"/>
      <c r="AW21" s="16">
        <f ca="1">ROUND(AS21*Desire_severe*(1-SUM($BD$5:$BF20)/Population),0)</f>
        <v>93070</v>
      </c>
      <c r="AX21" s="16">
        <f ca="1">ROUND(AT21*Desire_mild*(1-SUM($BD$5:$BF20)/Population),0)</f>
        <v>900372</v>
      </c>
      <c r="AY21" s="16">
        <f ca="1">ROUND(AU21*Desire_asy*(1-SUM($BD$5:$BF20)/Population),0)</f>
        <v>1275371</v>
      </c>
      <c r="AZ21" s="16"/>
      <c r="BA21" s="42">
        <f>VLOOKUP($E21,data!$A$2:$F$144,6)</f>
        <v>24102</v>
      </c>
      <c r="BB21" s="42">
        <f t="shared" ca="1" si="22"/>
        <v>70670</v>
      </c>
      <c r="BC21" s="16"/>
      <c r="BD21" s="16">
        <f t="shared" ca="1" si="23"/>
        <v>70670</v>
      </c>
      <c r="BE21" s="16">
        <f t="shared" ca="1" si="24"/>
        <v>0</v>
      </c>
      <c r="BF21" s="16">
        <f t="shared" ca="1" si="25"/>
        <v>0</v>
      </c>
      <c r="BG21" s="16"/>
      <c r="BH21" s="16">
        <f t="shared" ca="1" si="26"/>
        <v>22400</v>
      </c>
      <c r="BI21" s="16">
        <f t="shared" ca="1" si="27"/>
        <v>900372</v>
      </c>
      <c r="BJ21" s="16">
        <f t="shared" ca="1" si="28"/>
        <v>1275371</v>
      </c>
      <c r="BK21" s="16"/>
      <c r="BL21" s="18">
        <f t="shared" si="29"/>
        <v>0.29745908561288736</v>
      </c>
      <c r="BM21" s="18">
        <f t="shared" si="30"/>
        <v>9.2242941033799389E-2</v>
      </c>
      <c r="BN21" s="18">
        <f t="shared" si="31"/>
        <v>1.3024050619684087E-3</v>
      </c>
      <c r="BO21" s="16"/>
      <c r="BP21" s="16">
        <f t="shared" ca="1" si="32"/>
        <v>20218</v>
      </c>
      <c r="BQ21" s="16">
        <f t="shared" ca="1" si="33"/>
        <v>0</v>
      </c>
      <c r="BR21" s="16">
        <f t="shared" ca="1" si="34"/>
        <v>0</v>
      </c>
      <c r="BS21" s="16"/>
      <c r="BT21" s="16">
        <f t="shared" ca="1" si="42"/>
        <v>20218</v>
      </c>
      <c r="BU21" s="20">
        <f t="shared" ca="1" si="44"/>
        <v>1.0083287616577727</v>
      </c>
      <c r="BV21" s="17">
        <f t="shared" ca="1" si="45"/>
        <v>0.2860902787604358</v>
      </c>
    </row>
    <row r="22" spans="1:74" s="9" customFormat="1" ht="13" customHeight="1" x14ac:dyDescent="0.3">
      <c r="A22" s="15" t="s">
        <v>69</v>
      </c>
      <c r="B22" s="50">
        <v>1.45</v>
      </c>
      <c r="D22" s="35">
        <f t="shared" si="43"/>
        <v>17</v>
      </c>
      <c r="E22" s="38">
        <f t="shared" si="35"/>
        <v>43943</v>
      </c>
      <c r="F22" s="16"/>
      <c r="G22" s="43">
        <f t="shared" si="36"/>
        <v>0.81924334506516905</v>
      </c>
      <c r="H22" s="37">
        <f t="shared" si="0"/>
        <v>44.149283927219152</v>
      </c>
      <c r="I22" s="16">
        <f t="shared" si="37"/>
        <v>228713.49998822514</v>
      </c>
      <c r="J22" s="16">
        <f t="shared" si="1"/>
        <v>45742.699997645032</v>
      </c>
      <c r="K22" s="16">
        <f>SUM(I$5:I22)</f>
        <v>2294432.4335664716</v>
      </c>
      <c r="L22" s="16">
        <f t="shared" ca="1" si="2"/>
        <v>4529.6174271630507</v>
      </c>
      <c r="M22" s="16">
        <f t="shared" ca="1" si="3"/>
        <v>905.92348543261016</v>
      </c>
      <c r="N22" s="16">
        <f ca="1">SUM(L$5:L22)</f>
        <v>19040.824172607932</v>
      </c>
      <c r="O22" s="16"/>
      <c r="P22" s="27">
        <f t="shared" ca="1" si="38"/>
        <v>1.161044613710555</v>
      </c>
      <c r="Q22" s="37">
        <f t="shared" ca="1" si="4"/>
        <v>17.483331166375816</v>
      </c>
      <c r="R22" s="16">
        <f t="shared" ca="1" si="5"/>
        <v>20218</v>
      </c>
      <c r="S22" s="16">
        <f t="shared" ca="1" si="6"/>
        <v>4043.6</v>
      </c>
      <c r="T22" s="16">
        <f ca="1">SUM(R$5:R22)</f>
        <v>107068</v>
      </c>
      <c r="U22" s="16"/>
      <c r="V22" s="17">
        <f t="shared" ca="1" si="7"/>
        <v>4.6664263646924317E-2</v>
      </c>
      <c r="W22" s="46">
        <f t="shared" ca="1" si="39"/>
        <v>8.8398804622555657E-2</v>
      </c>
      <c r="X22" s="48">
        <f t="shared" ca="1" si="8"/>
        <v>0.2860902787604358</v>
      </c>
      <c r="Y22" s="17"/>
      <c r="Z22" s="27">
        <f t="shared" si="40"/>
        <v>0.91695888405071091</v>
      </c>
      <c r="AA22" s="16">
        <f t="shared" si="41"/>
        <v>25951</v>
      </c>
      <c r="AB22" s="16">
        <f t="shared" si="9"/>
        <v>5190.2</v>
      </c>
      <c r="AC22" s="16">
        <f>SUM(AA$5:AA22)</f>
        <v>129042</v>
      </c>
      <c r="AD22" s="67">
        <f t="shared" si="10"/>
        <v>0.36721381066930803</v>
      </c>
      <c r="AE22" s="16"/>
      <c r="AF22" s="16">
        <f>VLOOKUP($E22,data!$A$2:$G$144,7)</f>
        <v>4279</v>
      </c>
      <c r="AG22" s="16">
        <f t="shared" si="11"/>
        <v>855.8</v>
      </c>
      <c r="AH22" s="16"/>
      <c r="AI22" s="42">
        <f>VLOOKUP($E22,data!$A$2:$E$144,5)</f>
        <v>70670</v>
      </c>
      <c r="AJ22" s="42">
        <f t="shared" si="12"/>
        <v>14134</v>
      </c>
      <c r="AK22" s="32"/>
      <c r="AL22" s="56">
        <f t="shared" si="13"/>
        <v>0.85</v>
      </c>
      <c r="AM22" s="16">
        <f t="shared" si="14"/>
        <v>63705567.566433527</v>
      </c>
      <c r="AN22" s="16"/>
      <c r="AO22" s="16">
        <f t="shared" si="15"/>
        <v>22871</v>
      </c>
      <c r="AP22" s="16">
        <f t="shared" si="16"/>
        <v>137228</v>
      </c>
      <c r="AQ22" s="16">
        <f t="shared" si="17"/>
        <v>68614.499988225143</v>
      </c>
      <c r="AR22" s="16"/>
      <c r="AS22" s="16">
        <f t="shared" si="18"/>
        <v>88642</v>
      </c>
      <c r="AT22" s="16">
        <f t="shared" si="19"/>
        <v>1781510</v>
      </c>
      <c r="AU22" s="16">
        <f t="shared" si="20"/>
        <v>64129848</v>
      </c>
      <c r="AV22" s="16"/>
      <c r="AW22" s="16">
        <f ca="1">ROUND(AS22*Desire_severe*(1-SUM($BD$5:$BF21)/Population),0)</f>
        <v>88094</v>
      </c>
      <c r="AX22" s="16">
        <f ca="1">ROUND(AT22*Desire_mild*(1-SUM($BD$5:$BF21)/Population),0)</f>
        <v>885244</v>
      </c>
      <c r="AY22" s="16">
        <f ca="1">ROUND(AU22*Desire_asy*(1-SUM($BD$5:$BF21)/Population),0)</f>
        <v>1274662</v>
      </c>
      <c r="AZ22" s="16"/>
      <c r="BA22" s="42">
        <f>VLOOKUP($E22,data!$A$2:$F$144,6)</f>
        <v>25951</v>
      </c>
      <c r="BB22" s="42">
        <f t="shared" ca="1" si="22"/>
        <v>108077</v>
      </c>
      <c r="BC22" s="16"/>
      <c r="BD22" s="16">
        <f t="shared" ca="1" si="23"/>
        <v>88094</v>
      </c>
      <c r="BE22" s="16">
        <f t="shared" ca="1" si="24"/>
        <v>19983</v>
      </c>
      <c r="BF22" s="16">
        <f t="shared" ca="1" si="25"/>
        <v>0</v>
      </c>
      <c r="BG22" s="16"/>
      <c r="BH22" s="16">
        <f t="shared" ca="1" si="26"/>
        <v>0</v>
      </c>
      <c r="BI22" s="16">
        <f t="shared" ca="1" si="27"/>
        <v>865261</v>
      </c>
      <c r="BJ22" s="16">
        <f t="shared" ca="1" si="28"/>
        <v>1274662</v>
      </c>
      <c r="BK22" s="16"/>
      <c r="BL22" s="18">
        <f t="shared" si="29"/>
        <v>0.25801538773944632</v>
      </c>
      <c r="BM22" s="18">
        <f t="shared" si="30"/>
        <v>7.702903716510151E-2</v>
      </c>
      <c r="BN22" s="18">
        <f t="shared" si="31"/>
        <v>1.0699308064510795E-3</v>
      </c>
      <c r="BO22" s="16"/>
      <c r="BP22" s="16">
        <f t="shared" ca="1" si="32"/>
        <v>21920</v>
      </c>
      <c r="BQ22" s="16">
        <f t="shared" ca="1" si="33"/>
        <v>1554</v>
      </c>
      <c r="BR22" s="16">
        <f t="shared" ca="1" si="34"/>
        <v>0</v>
      </c>
      <c r="BS22" s="16"/>
      <c r="BT22" s="16">
        <f t="shared" ca="1" si="42"/>
        <v>23474</v>
      </c>
      <c r="BU22" s="20">
        <f t="shared" ca="1" si="44"/>
        <v>1.161044613710555</v>
      </c>
      <c r="BV22" s="17">
        <f t="shared" ca="1" si="45"/>
        <v>0.21719699843630005</v>
      </c>
    </row>
    <row r="23" spans="1:74" s="9" customFormat="1" ht="13" customHeight="1" x14ac:dyDescent="0.3">
      <c r="A23" s="15"/>
      <c r="B23" s="21"/>
      <c r="D23" s="35">
        <f t="shared" si="43"/>
        <v>18</v>
      </c>
      <c r="E23" s="38">
        <f t="shared" si="35"/>
        <v>43948</v>
      </c>
      <c r="F23" s="16"/>
      <c r="G23" s="43">
        <f t="shared" si="36"/>
        <v>0.81705115564322961</v>
      </c>
      <c r="H23" s="37">
        <f t="shared" si="0"/>
        <v>57.899115223769321</v>
      </c>
      <c r="I23" s="16">
        <f t="shared" si="37"/>
        <v>187372.01279191606</v>
      </c>
      <c r="J23" s="16">
        <f t="shared" si="1"/>
        <v>37474.402558383212</v>
      </c>
      <c r="K23" s="16">
        <f>SUM(I$5:I23)</f>
        <v>2481804.4463583878</v>
      </c>
      <c r="L23" s="16">
        <f t="shared" ca="1" si="2"/>
        <v>3752.6948242598583</v>
      </c>
      <c r="M23" s="16">
        <f t="shared" ca="1" si="3"/>
        <v>750.53896485197163</v>
      </c>
      <c r="N23" s="16">
        <f ca="1">SUM(L$5:L23)</f>
        <v>22793.518996867791</v>
      </c>
      <c r="O23" s="16"/>
      <c r="P23" s="27">
        <f t="shared" ca="1" si="38"/>
        <v>1.2417568373519638</v>
      </c>
      <c r="Q23" s="37">
        <f t="shared" ca="1" si="4"/>
        <v>17.195783286959919</v>
      </c>
      <c r="R23" s="16">
        <f t="shared" ca="1" si="5"/>
        <v>23474</v>
      </c>
      <c r="S23" s="16">
        <f t="shared" ca="1" si="6"/>
        <v>4694.8</v>
      </c>
      <c r="T23" s="16">
        <f ca="1">SUM(R$5:R23)</f>
        <v>130542</v>
      </c>
      <c r="U23" s="16"/>
      <c r="V23" s="17">
        <f t="shared" ca="1" si="7"/>
        <v>5.2599631768549475E-2</v>
      </c>
      <c r="W23" s="46">
        <f t="shared" ca="1" si="39"/>
        <v>0.12528018272434738</v>
      </c>
      <c r="X23" s="48">
        <f t="shared" ca="1" si="8"/>
        <v>0.21719699843630005</v>
      </c>
      <c r="Y23" s="17"/>
      <c r="Z23" s="27">
        <f t="shared" si="40"/>
        <v>1.0343755252983695</v>
      </c>
      <c r="AA23" s="16">
        <f t="shared" si="41"/>
        <v>23796</v>
      </c>
      <c r="AB23" s="16">
        <f t="shared" si="9"/>
        <v>4759.2</v>
      </c>
      <c r="AC23" s="16">
        <f>SUM(AA$5:AA23)</f>
        <v>152838</v>
      </c>
      <c r="AD23" s="67">
        <f t="shared" si="10"/>
        <v>0.22017635574636601</v>
      </c>
      <c r="AE23" s="16"/>
      <c r="AF23" s="16">
        <f>VLOOKUP($E23,data!$A$2:$G$144,7)</f>
        <v>3832</v>
      </c>
      <c r="AG23" s="16">
        <f t="shared" si="11"/>
        <v>766.4</v>
      </c>
      <c r="AH23" s="16"/>
      <c r="AI23" s="42">
        <f>VLOOKUP($E23,data!$A$2:$E$144,5)</f>
        <v>108077</v>
      </c>
      <c r="AJ23" s="42">
        <f t="shared" si="12"/>
        <v>21615.4</v>
      </c>
      <c r="AK23" s="32"/>
      <c r="AL23" s="56">
        <f t="shared" si="13"/>
        <v>0.85</v>
      </c>
      <c r="AM23" s="16">
        <f t="shared" si="14"/>
        <v>63518195.55364161</v>
      </c>
      <c r="AN23" s="16"/>
      <c r="AO23" s="16">
        <f t="shared" si="15"/>
        <v>18737</v>
      </c>
      <c r="AP23" s="16">
        <f t="shared" si="16"/>
        <v>112423</v>
      </c>
      <c r="AQ23" s="16">
        <f t="shared" si="17"/>
        <v>56212.012791916059</v>
      </c>
      <c r="AR23" s="16"/>
      <c r="AS23" s="16">
        <f t="shared" si="18"/>
        <v>84550</v>
      </c>
      <c r="AT23" s="16">
        <f t="shared" si="19"/>
        <v>1757739</v>
      </c>
      <c r="AU23" s="16">
        <f t="shared" si="20"/>
        <v>64157711</v>
      </c>
      <c r="AV23" s="16"/>
      <c r="AW23" s="16">
        <f ca="1">ROUND(AS23*Desire_severe*(1-SUM($BD$5:$BF22)/Population),0)</f>
        <v>83888</v>
      </c>
      <c r="AX23" s="16">
        <f ca="1">ROUND(AT23*Desire_mild*(1-SUM($BD$5:$BF22)/Population),0)</f>
        <v>871993</v>
      </c>
      <c r="AY23" s="16">
        <f ca="1">ROUND(AU23*Desire_asy*(1-SUM($BD$5:$BF22)/Population),0)</f>
        <v>1273115</v>
      </c>
      <c r="AZ23" s="16"/>
      <c r="BA23" s="42">
        <f>VLOOKUP($E23,data!$A$2:$F$144,6)</f>
        <v>23796</v>
      </c>
      <c r="BB23" s="42">
        <f t="shared" ca="1" si="22"/>
        <v>254459</v>
      </c>
      <c r="BC23" s="16"/>
      <c r="BD23" s="16">
        <f t="shared" ca="1" si="23"/>
        <v>83888</v>
      </c>
      <c r="BE23" s="16">
        <f t="shared" ca="1" si="24"/>
        <v>170571</v>
      </c>
      <c r="BF23" s="16">
        <f t="shared" ca="1" si="25"/>
        <v>0</v>
      </c>
      <c r="BG23" s="16"/>
      <c r="BH23" s="16">
        <f t="shared" ca="1" si="26"/>
        <v>0</v>
      </c>
      <c r="BI23" s="16">
        <f t="shared" ca="1" si="27"/>
        <v>701422</v>
      </c>
      <c r="BJ23" s="16">
        <f t="shared" ca="1" si="28"/>
        <v>1273115</v>
      </c>
      <c r="BK23" s="16"/>
      <c r="BL23" s="18">
        <f t="shared" si="29"/>
        <v>0.22160851567120046</v>
      </c>
      <c r="BM23" s="18">
        <f t="shared" si="30"/>
        <v>6.3958869889101849E-2</v>
      </c>
      <c r="BN23" s="18">
        <f t="shared" si="31"/>
        <v>8.7615365192682856E-4</v>
      </c>
      <c r="BO23" s="16"/>
      <c r="BP23" s="16">
        <f t="shared" ca="1" si="32"/>
        <v>17987</v>
      </c>
      <c r="BQ23" s="16">
        <f t="shared" ca="1" si="33"/>
        <v>11162</v>
      </c>
      <c r="BR23" s="16">
        <f t="shared" ca="1" si="34"/>
        <v>0</v>
      </c>
      <c r="BS23" s="16"/>
      <c r="BT23" s="16">
        <f t="shared" ca="1" si="42"/>
        <v>29149</v>
      </c>
      <c r="BU23" s="20">
        <f t="shared" ca="1" si="44"/>
        <v>1.2417568373519638</v>
      </c>
      <c r="BV23" s="17">
        <f t="shared" ca="1" si="45"/>
        <v>0.11455283562381366</v>
      </c>
    </row>
    <row r="24" spans="1:74" s="9" customFormat="1" ht="13" customHeight="1" x14ac:dyDescent="0.3">
      <c r="A24" s="7" t="s">
        <v>55</v>
      </c>
      <c r="D24" s="35">
        <f t="shared" si="43"/>
        <v>19</v>
      </c>
      <c r="E24" s="38">
        <f t="shared" si="35"/>
        <v>43953</v>
      </c>
      <c r="F24" s="16"/>
      <c r="G24" s="43">
        <f t="shared" si="36"/>
        <v>0.81526176113479576</v>
      </c>
      <c r="H24" s="37">
        <f t="shared" si="0"/>
        <v>74.885290908083476</v>
      </c>
      <c r="I24" s="16">
        <f t="shared" si="37"/>
        <v>153092.51958683302</v>
      </c>
      <c r="J24" s="16">
        <f t="shared" si="1"/>
        <v>30618.503917366605</v>
      </c>
      <c r="K24" s="16">
        <f>SUM(I$5:I24)</f>
        <v>2634896.965945221</v>
      </c>
      <c r="L24" s="16">
        <f t="shared" ca="1" si="2"/>
        <v>3094.7056293880751</v>
      </c>
      <c r="M24" s="16">
        <f t="shared" ca="1" si="3"/>
        <v>618.94112587761504</v>
      </c>
      <c r="N24" s="16">
        <f ca="1">SUM(L$5:L24)</f>
        <v>25888.224626255866</v>
      </c>
      <c r="O24" s="16"/>
      <c r="P24" s="27">
        <f t="shared" ca="1" si="38"/>
        <v>0.93982640913925009</v>
      </c>
      <c r="Q24" s="37">
        <f t="shared" ca="1" si="4"/>
        <v>21.889636284011651</v>
      </c>
      <c r="R24" s="16">
        <f t="shared" ca="1" si="5"/>
        <v>29149</v>
      </c>
      <c r="S24" s="16">
        <f t="shared" ca="1" si="6"/>
        <v>5829.8</v>
      </c>
      <c r="T24" s="16">
        <f ca="1">SUM(R$5:R24)</f>
        <v>159691</v>
      </c>
      <c r="U24" s="16"/>
      <c r="V24" s="17">
        <f t="shared" ca="1" si="7"/>
        <v>6.0606164895223441E-2</v>
      </c>
      <c r="W24" s="46">
        <f t="shared" ca="1" si="39"/>
        <v>0.19040120365559005</v>
      </c>
      <c r="X24" s="48">
        <f t="shared" ca="1" si="8"/>
        <v>0.11455283562381366</v>
      </c>
      <c r="Y24" s="17"/>
      <c r="Z24" s="27">
        <f t="shared" si="40"/>
        <v>0.96477614365808073</v>
      </c>
      <c r="AA24" s="16">
        <f t="shared" si="41"/>
        <v>24614</v>
      </c>
      <c r="AB24" s="16">
        <f t="shared" si="9"/>
        <v>4922.8</v>
      </c>
      <c r="AC24" s="16">
        <f>SUM(AA$5:AA24)</f>
        <v>177452</v>
      </c>
      <c r="AD24" s="67">
        <f t="shared" si="10"/>
        <v>9.6730711037927519E-2</v>
      </c>
      <c r="AE24" s="16"/>
      <c r="AF24" s="16">
        <f>VLOOKUP($E24,data!$A$2:$G$144,7)</f>
        <v>3455</v>
      </c>
      <c r="AG24" s="16">
        <f t="shared" si="11"/>
        <v>691</v>
      </c>
      <c r="AH24" s="16"/>
      <c r="AI24" s="42">
        <f>VLOOKUP($E24,data!$A$2:$E$144,5)</f>
        <v>254459</v>
      </c>
      <c r="AJ24" s="42">
        <f t="shared" si="12"/>
        <v>50891.8</v>
      </c>
      <c r="AK24" s="32"/>
      <c r="AL24" s="56">
        <f t="shared" si="13"/>
        <v>0.85</v>
      </c>
      <c r="AM24" s="16">
        <f t="shared" si="14"/>
        <v>63365103.034054779</v>
      </c>
      <c r="AN24" s="16"/>
      <c r="AO24" s="16">
        <f t="shared" si="15"/>
        <v>15309</v>
      </c>
      <c r="AP24" s="16">
        <f t="shared" si="16"/>
        <v>91856</v>
      </c>
      <c r="AQ24" s="16">
        <f t="shared" si="17"/>
        <v>45927.519586833019</v>
      </c>
      <c r="AR24" s="16"/>
      <c r="AS24" s="16">
        <f t="shared" si="18"/>
        <v>81156</v>
      </c>
      <c r="AT24" s="16">
        <f t="shared" si="19"/>
        <v>1738029</v>
      </c>
      <c r="AU24" s="16">
        <f t="shared" si="20"/>
        <v>64180815</v>
      </c>
      <c r="AV24" s="16"/>
      <c r="AW24" s="16">
        <f ca="1">ROUND(AS24*Desire_severe*(1-SUM($BD$5:$BF23)/Population),0)</f>
        <v>80208</v>
      </c>
      <c r="AX24" s="16">
        <f ca="1">ROUND(AT24*Desire_mild*(1-SUM($BD$5:$BF23)/Population),0)</f>
        <v>858865</v>
      </c>
      <c r="AY24" s="16">
        <f ca="1">ROUND(AU24*Desire_asy*(1-SUM($BD$5:$BF23)/Population),0)</f>
        <v>1268624</v>
      </c>
      <c r="AZ24" s="16"/>
      <c r="BA24" s="42">
        <f>VLOOKUP($E24,data!$A$2:$F$144,6)</f>
        <v>24614</v>
      </c>
      <c r="BB24" s="42">
        <f t="shared" ca="1" si="22"/>
        <v>311290</v>
      </c>
      <c r="BC24" s="16"/>
      <c r="BD24" s="16">
        <f t="shared" ca="1" si="23"/>
        <v>80208</v>
      </c>
      <c r="BE24" s="16">
        <f t="shared" ca="1" si="24"/>
        <v>231082</v>
      </c>
      <c r="BF24" s="16">
        <f t="shared" ca="1" si="25"/>
        <v>0</v>
      </c>
      <c r="BG24" s="16"/>
      <c r="BH24" s="16">
        <f t="shared" ca="1" si="26"/>
        <v>0</v>
      </c>
      <c r="BI24" s="16">
        <f t="shared" ca="1" si="27"/>
        <v>627783</v>
      </c>
      <c r="BJ24" s="16">
        <f t="shared" ca="1" si="28"/>
        <v>1268624</v>
      </c>
      <c r="BK24" s="16"/>
      <c r="BL24" s="18">
        <f t="shared" si="29"/>
        <v>0.1886366996894869</v>
      </c>
      <c r="BM24" s="18">
        <f t="shared" si="30"/>
        <v>5.2850671651623764E-2</v>
      </c>
      <c r="BN24" s="18">
        <f t="shared" si="31"/>
        <v>7.1559576778252221E-4</v>
      </c>
      <c r="BO24" s="16"/>
      <c r="BP24" s="16">
        <f t="shared" ca="1" si="32"/>
        <v>14699</v>
      </c>
      <c r="BQ24" s="16">
        <f t="shared" ca="1" si="33"/>
        <v>12696</v>
      </c>
      <c r="BR24" s="16">
        <f t="shared" ca="1" si="34"/>
        <v>0</v>
      </c>
      <c r="BS24" s="16"/>
      <c r="BT24" s="16">
        <f t="shared" ca="1" si="42"/>
        <v>27395</v>
      </c>
      <c r="BU24" s="20">
        <f t="shared" ca="1" si="44"/>
        <v>0.93982640913925009</v>
      </c>
      <c r="BV24" s="17">
        <f t="shared" ca="1" si="45"/>
        <v>8.800475440907192E-2</v>
      </c>
    </row>
    <row r="25" spans="1:74" s="9" customFormat="1" ht="13" customHeight="1" x14ac:dyDescent="0.3">
      <c r="A25" s="15" t="s">
        <v>28</v>
      </c>
      <c r="B25" s="60">
        <v>1E-3</v>
      </c>
      <c r="D25" s="35">
        <f t="shared" si="43"/>
        <v>20</v>
      </c>
      <c r="E25" s="38">
        <f t="shared" si="35"/>
        <v>43958</v>
      </c>
      <c r="F25" s="16"/>
      <c r="G25" s="43">
        <f t="shared" si="36"/>
        <v>0.81380408870755061</v>
      </c>
      <c r="H25" s="37">
        <f t="shared" si="0"/>
        <v>95.887014958319199</v>
      </c>
      <c r="I25" s="16">
        <f t="shared" si="37"/>
        <v>124810.4771349247</v>
      </c>
      <c r="J25" s="16">
        <f t="shared" si="1"/>
        <v>24962.095426984939</v>
      </c>
      <c r="K25" s="16">
        <f>SUM(I$5:I25)</f>
        <v>2759707.4430801459</v>
      </c>
      <c r="L25" s="16">
        <f t="shared" ca="1" si="2"/>
        <v>2542.3337120891074</v>
      </c>
      <c r="M25" s="16">
        <f t="shared" ca="1" si="3"/>
        <v>508.46674241782148</v>
      </c>
      <c r="N25" s="16">
        <f ca="1">SUM(L$5:L25)</f>
        <v>28430.558338344974</v>
      </c>
      <c r="O25" s="16"/>
      <c r="P25" s="27">
        <f t="shared" ca="1" si="38"/>
        <v>0.84785544807446611</v>
      </c>
      <c r="Q25" s="37">
        <f t="shared" ca="1" si="4"/>
        <v>29.614462358593574</v>
      </c>
      <c r="R25" s="16">
        <f t="shared" ca="1" si="5"/>
        <v>27395</v>
      </c>
      <c r="S25" s="16">
        <f t="shared" ca="1" si="6"/>
        <v>5479</v>
      </c>
      <c r="T25" s="16">
        <f ca="1">SUM(R$5:R25)</f>
        <v>187086</v>
      </c>
      <c r="U25" s="16"/>
      <c r="V25" s="17">
        <f t="shared" ca="1" si="7"/>
        <v>6.7791968481699216E-2</v>
      </c>
      <c r="W25" s="46">
        <f t="shared" ca="1" si="39"/>
        <v>0.21949279122124499</v>
      </c>
      <c r="X25" s="48">
        <f t="shared" ca="1" si="8"/>
        <v>8.800475440907192E-2</v>
      </c>
      <c r="Y25" s="17"/>
      <c r="Z25" s="27">
        <f t="shared" si="40"/>
        <v>0.92049522044889875</v>
      </c>
      <c r="AA25" s="16">
        <f t="shared" si="41"/>
        <v>23747</v>
      </c>
      <c r="AB25" s="16">
        <f t="shared" si="9"/>
        <v>4749.3999999999996</v>
      </c>
      <c r="AC25" s="16">
        <f>SUM(AA$5:AA25)</f>
        <v>201199</v>
      </c>
      <c r="AD25" s="67">
        <f t="shared" si="10"/>
        <v>7.6285778534485524E-2</v>
      </c>
      <c r="AE25" s="16"/>
      <c r="AF25" s="16">
        <f>VLOOKUP($E25,data!$A$2:$G$144,7)</f>
        <v>2566</v>
      </c>
      <c r="AG25" s="16">
        <f t="shared" si="11"/>
        <v>513.20000000000005</v>
      </c>
      <c r="AH25" s="16"/>
      <c r="AI25" s="42">
        <f>VLOOKUP($E25,data!$A$2:$E$144,5)</f>
        <v>311290</v>
      </c>
      <c r="AJ25" s="42">
        <f t="shared" si="12"/>
        <v>62258</v>
      </c>
      <c r="AK25" s="32"/>
      <c r="AL25" s="56">
        <f t="shared" si="13"/>
        <v>0.85</v>
      </c>
      <c r="AM25" s="16">
        <f t="shared" si="14"/>
        <v>63240292.556919858</v>
      </c>
      <c r="AN25" s="16"/>
      <c r="AO25" s="16">
        <f t="shared" si="15"/>
        <v>12481</v>
      </c>
      <c r="AP25" s="16">
        <f t="shared" si="16"/>
        <v>74886</v>
      </c>
      <c r="AQ25" s="16">
        <f t="shared" si="17"/>
        <v>37443.477134924702</v>
      </c>
      <c r="AR25" s="16"/>
      <c r="AS25" s="16">
        <f t="shared" si="18"/>
        <v>78356</v>
      </c>
      <c r="AT25" s="16">
        <f t="shared" si="19"/>
        <v>1721766</v>
      </c>
      <c r="AU25" s="16">
        <f t="shared" si="20"/>
        <v>64199878</v>
      </c>
      <c r="AV25" s="16"/>
      <c r="AW25" s="16">
        <f ca="1">ROUND(AS25*Desire_severe*(1-SUM($BD$5:$BF24)/Population),0)</f>
        <v>77071</v>
      </c>
      <c r="AX25" s="16">
        <f ca="1">ROUND(AT25*Desire_mild*(1-SUM($BD$5:$BF24)/Population),0)</f>
        <v>846768</v>
      </c>
      <c r="AY25" s="16">
        <f ca="1">ROUND(AU25*Desire_asy*(1-SUM($BD$5:$BF24)/Population),0)</f>
        <v>1262945</v>
      </c>
      <c r="AZ25" s="16"/>
      <c r="BA25" s="42">
        <f>VLOOKUP($E25,data!$A$2:$F$144,6)</f>
        <v>23747</v>
      </c>
      <c r="BB25" s="42">
        <f t="shared" ca="1" si="22"/>
        <v>320891</v>
      </c>
      <c r="BC25" s="16"/>
      <c r="BD25" s="16">
        <f t="shared" ca="1" si="23"/>
        <v>77071</v>
      </c>
      <c r="BE25" s="16">
        <f t="shared" ca="1" si="24"/>
        <v>243820</v>
      </c>
      <c r="BF25" s="16">
        <f t="shared" ca="1" si="25"/>
        <v>0</v>
      </c>
      <c r="BG25" s="16"/>
      <c r="BH25" s="16">
        <f t="shared" ca="1" si="26"/>
        <v>0</v>
      </c>
      <c r="BI25" s="16">
        <f t="shared" ca="1" si="27"/>
        <v>602948</v>
      </c>
      <c r="BJ25" s="16">
        <f t="shared" ca="1" si="28"/>
        <v>1262945</v>
      </c>
      <c r="BK25" s="16"/>
      <c r="BL25" s="18">
        <f t="shared" si="29"/>
        <v>0.15928582367655317</v>
      </c>
      <c r="BM25" s="18">
        <f t="shared" si="30"/>
        <v>4.3493715173838952E-2</v>
      </c>
      <c r="BN25" s="18">
        <f t="shared" si="31"/>
        <v>5.8323283939768085E-4</v>
      </c>
      <c r="BO25" s="16"/>
      <c r="BP25" s="16">
        <f t="shared" ca="1" si="32"/>
        <v>11987</v>
      </c>
      <c r="BQ25" s="16">
        <f t="shared" ca="1" si="33"/>
        <v>11240</v>
      </c>
      <c r="BR25" s="16">
        <f t="shared" ca="1" si="34"/>
        <v>0</v>
      </c>
      <c r="BS25" s="16"/>
      <c r="BT25" s="16">
        <f t="shared" ca="1" si="42"/>
        <v>23227</v>
      </c>
      <c r="BU25" s="20">
        <f t="shared" ca="1" si="44"/>
        <v>0.84785544807446611</v>
      </c>
      <c r="BV25" s="17">
        <f t="shared" ca="1" si="45"/>
        <v>7.2382834046451905E-2</v>
      </c>
    </row>
    <row r="26" spans="1:74" s="9" customFormat="1" ht="13" customHeight="1" x14ac:dyDescent="0.3">
      <c r="A26" s="15" t="s">
        <v>29</v>
      </c>
      <c r="B26" s="61">
        <v>2.5000000000000001E-2</v>
      </c>
      <c r="D26" s="35">
        <f t="shared" si="43"/>
        <v>21</v>
      </c>
      <c r="E26" s="38">
        <f t="shared" si="35"/>
        <v>43963</v>
      </c>
      <c r="F26" s="16"/>
      <c r="G26" s="43">
        <f t="shared" si="36"/>
        <v>0.81261859132428205</v>
      </c>
      <c r="H26" s="37">
        <f t="shared" si="0"/>
        <v>121.86751445790171</v>
      </c>
      <c r="I26" s="16">
        <f t="shared" si="37"/>
        <v>101571.27660594198</v>
      </c>
      <c r="J26" s="16">
        <f t="shared" si="1"/>
        <v>20314.255321188397</v>
      </c>
      <c r="K26" s="16">
        <f>SUM(I$5:I26)</f>
        <v>2861278.7196860877</v>
      </c>
      <c r="L26" s="16">
        <f t="shared" ca="1" si="2"/>
        <v>2081.965528505697</v>
      </c>
      <c r="M26" s="16">
        <f t="shared" ca="1" si="3"/>
        <v>416.3931057011394</v>
      </c>
      <c r="N26" s="16">
        <f ca="1">SUM(L$5:L26)</f>
        <v>30512.523866850672</v>
      </c>
      <c r="O26" s="16"/>
      <c r="P26" s="27">
        <f t="shared" ca="1" si="38"/>
        <v>0.8933568691608903</v>
      </c>
      <c r="Q26" s="37">
        <f t="shared" ca="1" si="4"/>
        <v>36.832892591155428</v>
      </c>
      <c r="R26" s="16">
        <f t="shared" ca="1" si="5"/>
        <v>23227</v>
      </c>
      <c r="S26" s="16">
        <f t="shared" ca="1" si="6"/>
        <v>4645.3999999999996</v>
      </c>
      <c r="T26" s="16">
        <f ca="1">SUM(R$5:R26)</f>
        <v>210313</v>
      </c>
      <c r="U26" s="16"/>
      <c r="V26" s="17">
        <f t="shared" ca="1" si="7"/>
        <v>7.3503150375743037E-2</v>
      </c>
      <c r="W26" s="46">
        <f t="shared" ca="1" si="39"/>
        <v>0.22867685408850327</v>
      </c>
      <c r="X26" s="48">
        <f t="shared" ca="1" si="8"/>
        <v>7.2382834046451905E-2</v>
      </c>
      <c r="Y26" s="17"/>
      <c r="Z26" s="27">
        <f t="shared" si="40"/>
        <v>0.78233222013815817</v>
      </c>
      <c r="AA26" s="16">
        <f t="shared" si="41"/>
        <v>21859</v>
      </c>
      <c r="AB26" s="16">
        <f t="shared" si="9"/>
        <v>4371.8</v>
      </c>
      <c r="AC26" s="16">
        <f>SUM(AA$5:AA26)</f>
        <v>223058</v>
      </c>
      <c r="AD26" s="67">
        <f t="shared" si="10"/>
        <v>6.8119704198621955E-2</v>
      </c>
      <c r="AE26" s="16"/>
      <c r="AF26" s="16">
        <f>VLOOKUP($E26,data!$A$2:$G$144,7)</f>
        <v>1989</v>
      </c>
      <c r="AG26" s="16">
        <f t="shared" si="11"/>
        <v>397.8</v>
      </c>
      <c r="AH26" s="16"/>
      <c r="AI26" s="42">
        <f>VLOOKUP($E26,data!$A$2:$E$144,5)</f>
        <v>320891</v>
      </c>
      <c r="AJ26" s="42">
        <f t="shared" si="12"/>
        <v>64178.2</v>
      </c>
      <c r="AK26" s="32"/>
      <c r="AL26" s="56">
        <f t="shared" si="13"/>
        <v>0.85</v>
      </c>
      <c r="AM26" s="16">
        <f t="shared" si="14"/>
        <v>63138721.280313909</v>
      </c>
      <c r="AN26" s="16"/>
      <c r="AO26" s="16">
        <f t="shared" si="15"/>
        <v>10157</v>
      </c>
      <c r="AP26" s="16">
        <f t="shared" si="16"/>
        <v>60943</v>
      </c>
      <c r="AQ26" s="16">
        <f t="shared" si="17"/>
        <v>30471.276605941981</v>
      </c>
      <c r="AR26" s="16"/>
      <c r="AS26" s="16">
        <f t="shared" si="18"/>
        <v>76055</v>
      </c>
      <c r="AT26" s="16">
        <f t="shared" si="19"/>
        <v>1708404</v>
      </c>
      <c r="AU26" s="16">
        <f t="shared" si="20"/>
        <v>64215541</v>
      </c>
      <c r="AV26" s="16"/>
      <c r="AW26" s="16">
        <f ca="1">ROUND(AS26*Desire_severe*(1-SUM($BD$5:$BF25)/Population),0)</f>
        <v>74438</v>
      </c>
      <c r="AX26" s="16">
        <f ca="1">ROUND(AT26*Desire_mild*(1-SUM($BD$5:$BF25)/Population),0)</f>
        <v>836043</v>
      </c>
      <c r="AY26" s="16">
        <f ca="1">ROUND(AU26*Desire_asy*(1-SUM($BD$5:$BF25)/Population),0)</f>
        <v>1257009</v>
      </c>
      <c r="AZ26" s="16"/>
      <c r="BA26" s="42">
        <f>VLOOKUP($E26,data!$A$2:$F$144,6)</f>
        <v>21859</v>
      </c>
      <c r="BB26" s="42">
        <f t="shared" ca="1" si="22"/>
        <v>358196</v>
      </c>
      <c r="BC26" s="16"/>
      <c r="BD26" s="16">
        <f t="shared" ca="1" si="23"/>
        <v>74438</v>
      </c>
      <c r="BE26" s="16">
        <f t="shared" ca="1" si="24"/>
        <v>283758</v>
      </c>
      <c r="BF26" s="16">
        <f t="shared" ca="1" si="25"/>
        <v>0</v>
      </c>
      <c r="BG26" s="16"/>
      <c r="BH26" s="16">
        <f t="shared" ca="1" si="26"/>
        <v>0</v>
      </c>
      <c r="BI26" s="16">
        <f t="shared" ca="1" si="27"/>
        <v>552285</v>
      </c>
      <c r="BJ26" s="16">
        <f t="shared" ca="1" si="28"/>
        <v>1257009</v>
      </c>
      <c r="BK26" s="16"/>
      <c r="BL26" s="18">
        <f t="shared" si="29"/>
        <v>0.13354809019788311</v>
      </c>
      <c r="BM26" s="18">
        <f t="shared" si="30"/>
        <v>3.5672475597107005E-2</v>
      </c>
      <c r="BN26" s="18">
        <f t="shared" si="31"/>
        <v>4.7451560995089931E-4</v>
      </c>
      <c r="BO26" s="16"/>
      <c r="BP26" s="16">
        <f t="shared" ca="1" si="32"/>
        <v>9766</v>
      </c>
      <c r="BQ26" s="16">
        <f t="shared" ca="1" si="33"/>
        <v>10984</v>
      </c>
      <c r="BR26" s="16">
        <f t="shared" ca="1" si="34"/>
        <v>0</v>
      </c>
      <c r="BS26" s="16"/>
      <c r="BT26" s="16">
        <f t="shared" ca="1" si="42"/>
        <v>20750</v>
      </c>
      <c r="BU26" s="20">
        <f t="shared" ca="1" si="44"/>
        <v>0.8933568691608903</v>
      </c>
      <c r="BV26" s="17">
        <f t="shared" ca="1" si="45"/>
        <v>5.7929178438620194E-2</v>
      </c>
    </row>
    <row r="27" spans="1:74" s="9" customFormat="1" ht="13" customHeight="1" x14ac:dyDescent="0.3">
      <c r="A27" s="15"/>
      <c r="B27" s="21"/>
      <c r="D27" s="35">
        <f t="shared" si="43"/>
        <v>22</v>
      </c>
      <c r="E27" s="38">
        <f t="shared" si="35"/>
        <v>43968</v>
      </c>
      <c r="F27" s="16"/>
      <c r="G27" s="43">
        <f t="shared" si="36"/>
        <v>0.81165573708982908</v>
      </c>
      <c r="H27" s="37">
        <f t="shared" si="0"/>
        <v>154.01827077824055</v>
      </c>
      <c r="I27" s="16">
        <f t="shared" si="37"/>
        <v>82538.707714529577</v>
      </c>
      <c r="J27" s="16">
        <f t="shared" si="1"/>
        <v>16507.741542905915</v>
      </c>
      <c r="K27" s="16">
        <f>SUM(I$5:I27)</f>
        <v>2943817.4274006174</v>
      </c>
      <c r="L27" s="16">
        <f t="shared" ca="1" si="2"/>
        <v>1700.5388583588474</v>
      </c>
      <c r="M27" s="16">
        <f t="shared" ca="1" si="3"/>
        <v>340.10777167176946</v>
      </c>
      <c r="N27" s="16">
        <f ca="1">SUM(L$5:L27)</f>
        <v>32213.062725209518</v>
      </c>
      <c r="O27" s="16"/>
      <c r="P27" s="27">
        <f t="shared" ca="1" si="38"/>
        <v>0.82939759036144578</v>
      </c>
      <c r="Q27" s="37">
        <f t="shared" ca="1" si="4"/>
        <v>48.243402304868816</v>
      </c>
      <c r="R27" s="16">
        <f t="shared" ca="1" si="5"/>
        <v>20750</v>
      </c>
      <c r="S27" s="16">
        <f t="shared" ca="1" si="6"/>
        <v>4150</v>
      </c>
      <c r="T27" s="16">
        <f ca="1">SUM(R$5:R27)</f>
        <v>231063</v>
      </c>
      <c r="U27" s="16"/>
      <c r="V27" s="17">
        <f t="shared" ca="1" si="7"/>
        <v>7.849094099698567E-2</v>
      </c>
      <c r="W27" s="46">
        <f t="shared" ca="1" si="39"/>
        <v>0.25139719986610964</v>
      </c>
      <c r="X27" s="48">
        <f t="shared" ca="1" si="8"/>
        <v>5.7929178438620194E-2</v>
      </c>
      <c r="Y27" s="17"/>
      <c r="Z27" s="27">
        <f t="shared" si="40"/>
        <v>0.62844278112391083</v>
      </c>
      <c r="AA27" s="16">
        <f t="shared" si="41"/>
        <v>17101</v>
      </c>
      <c r="AB27" s="16">
        <f t="shared" si="9"/>
        <v>3420.2</v>
      </c>
      <c r="AC27" s="16">
        <f>SUM(AA$5:AA27)</f>
        <v>240159</v>
      </c>
      <c r="AD27" s="67">
        <f t="shared" si="10"/>
        <v>4.7742018336329829E-2</v>
      </c>
      <c r="AE27" s="16"/>
      <c r="AF27" s="16">
        <f>VLOOKUP($E27,data!$A$2:$G$144,7)</f>
        <v>2401</v>
      </c>
      <c r="AG27" s="16">
        <f t="shared" si="11"/>
        <v>480.2</v>
      </c>
      <c r="AH27" s="16"/>
      <c r="AI27" s="42">
        <f>VLOOKUP($E27,data!$A$2:$E$144,5)</f>
        <v>358196</v>
      </c>
      <c r="AJ27" s="42">
        <f t="shared" si="12"/>
        <v>71639.199999999997</v>
      </c>
      <c r="AK27" s="32"/>
      <c r="AL27" s="56">
        <f t="shared" si="13"/>
        <v>0.85</v>
      </c>
      <c r="AM27" s="16">
        <f t="shared" si="14"/>
        <v>63056182.572599381</v>
      </c>
      <c r="AN27" s="16"/>
      <c r="AO27" s="16">
        <f t="shared" si="15"/>
        <v>8254</v>
      </c>
      <c r="AP27" s="16">
        <f t="shared" si="16"/>
        <v>49523</v>
      </c>
      <c r="AQ27" s="16">
        <f t="shared" si="17"/>
        <v>24761.707714529577</v>
      </c>
      <c r="AR27" s="16"/>
      <c r="AS27" s="16">
        <f t="shared" si="18"/>
        <v>74171</v>
      </c>
      <c r="AT27" s="16">
        <f t="shared" si="19"/>
        <v>1697460</v>
      </c>
      <c r="AU27" s="16">
        <f t="shared" si="20"/>
        <v>64228369</v>
      </c>
      <c r="AV27" s="16"/>
      <c r="AW27" s="16">
        <f ca="1">ROUND(AS27*Desire_severe*(1-SUM($BD$5:$BF26)/Population),0)</f>
        <v>72192</v>
      </c>
      <c r="AX27" s="16">
        <f ca="1">ROUND(AT27*Desire_mild*(1-SUM($BD$5:$BF26)/Population),0)</f>
        <v>826081</v>
      </c>
      <c r="AY27" s="16">
        <f ca="1">ROUND(AU27*Desire_asy*(1-SUM($BD$5:$BF26)/Population),0)</f>
        <v>1250288</v>
      </c>
      <c r="AZ27" s="16"/>
      <c r="BA27" s="42">
        <f>VLOOKUP($E27,data!$A$2:$F$144,6)</f>
        <v>17101</v>
      </c>
      <c r="BB27" s="42">
        <f t="shared" ca="1" si="22"/>
        <v>356387</v>
      </c>
      <c r="BC27" s="16"/>
      <c r="BD27" s="16">
        <f t="shared" ca="1" si="23"/>
        <v>72192</v>
      </c>
      <c r="BE27" s="16">
        <f t="shared" ca="1" si="24"/>
        <v>284195</v>
      </c>
      <c r="BF27" s="16">
        <f t="shared" ca="1" si="25"/>
        <v>0</v>
      </c>
      <c r="BG27" s="16"/>
      <c r="BH27" s="16">
        <f t="shared" ca="1" si="26"/>
        <v>0</v>
      </c>
      <c r="BI27" s="16">
        <f t="shared" ca="1" si="27"/>
        <v>541886</v>
      </c>
      <c r="BJ27" s="16">
        <f t="shared" ca="1" si="28"/>
        <v>1250288</v>
      </c>
      <c r="BK27" s="16"/>
      <c r="BL27" s="18">
        <f t="shared" si="29"/>
        <v>0.11128338568982486</v>
      </c>
      <c r="BM27" s="18">
        <f t="shared" si="30"/>
        <v>2.9174767004818965E-2</v>
      </c>
      <c r="BN27" s="18">
        <f t="shared" si="31"/>
        <v>3.855260237813228E-4</v>
      </c>
      <c r="BO27" s="16"/>
      <c r="BP27" s="16">
        <f t="shared" ca="1" si="32"/>
        <v>7953</v>
      </c>
      <c r="BQ27" s="16">
        <f t="shared" ca="1" si="33"/>
        <v>9257</v>
      </c>
      <c r="BR27" s="16">
        <f t="shared" ca="1" si="34"/>
        <v>0</v>
      </c>
      <c r="BS27" s="16"/>
      <c r="BT27" s="16">
        <f t="shared" ca="1" si="42"/>
        <v>17210</v>
      </c>
      <c r="BU27" s="20">
        <f t="shared" ca="1" si="44"/>
        <v>0.82939759036144578</v>
      </c>
      <c r="BV27" s="17">
        <f t="shared" ca="1" si="45"/>
        <v>4.82902013822053E-2</v>
      </c>
    </row>
    <row r="28" spans="1:74" s="9" customFormat="1" ht="12.9" customHeight="1" x14ac:dyDescent="0.3">
      <c r="A28" s="15" t="s">
        <v>33</v>
      </c>
      <c r="B28" s="21">
        <v>1</v>
      </c>
      <c r="D28" s="35">
        <f t="shared" si="43"/>
        <v>23</v>
      </c>
      <c r="E28" s="38">
        <f t="shared" si="35"/>
        <v>43973</v>
      </c>
      <c r="F28" s="16"/>
      <c r="G28" s="43">
        <f t="shared" si="36"/>
        <v>0.81087456202959241</v>
      </c>
      <c r="H28" s="37">
        <f t="shared" si="0"/>
        <v>193.813686763622</v>
      </c>
      <c r="I28" s="16">
        <f t="shared" si="37"/>
        <v>66993.015648478467</v>
      </c>
      <c r="J28" s="16">
        <f t="shared" si="1"/>
        <v>13398.603129695693</v>
      </c>
      <c r="K28" s="16">
        <f>SUM(I$5:I28)</f>
        <v>3010810.443049096</v>
      </c>
      <c r="L28" s="16">
        <f t="shared" ca="1" si="2"/>
        <v>1386.0389431266879</v>
      </c>
      <c r="M28" s="16">
        <f t="shared" ca="1" si="3"/>
        <v>277.20778862533757</v>
      </c>
      <c r="N28" s="16">
        <f ca="1">SUM(L$5:L28)</f>
        <v>33599.101668336203</v>
      </c>
      <c r="O28" s="16"/>
      <c r="P28" s="27">
        <f t="shared" ca="1" si="38"/>
        <v>0.69081929110981988</v>
      </c>
      <c r="Q28" s="37">
        <f t="shared" ca="1" si="4"/>
        <v>74.092868239493782</v>
      </c>
      <c r="R28" s="16">
        <f t="shared" ca="1" si="5"/>
        <v>17210</v>
      </c>
      <c r="S28" s="16">
        <f t="shared" ca="1" si="6"/>
        <v>3442</v>
      </c>
      <c r="T28" s="16">
        <f ca="1">SUM(R$5:R28)</f>
        <v>248273</v>
      </c>
      <c r="U28" s="16"/>
      <c r="V28" s="17">
        <f t="shared" ca="1" si="7"/>
        <v>8.2460521741969897E-2</v>
      </c>
      <c r="W28" s="46">
        <f t="shared" ca="1" si="39"/>
        <v>0.25689245115197124</v>
      </c>
      <c r="X28" s="48">
        <f t="shared" ca="1" si="8"/>
        <v>4.82902013822053E-2</v>
      </c>
      <c r="Y28" s="17"/>
      <c r="Z28" s="27">
        <f t="shared" si="40"/>
        <v>1.3323718246952638</v>
      </c>
      <c r="AA28" s="16">
        <f t="shared" si="41"/>
        <v>10747</v>
      </c>
      <c r="AB28" s="16">
        <f t="shared" si="9"/>
        <v>2149.4</v>
      </c>
      <c r="AC28" s="16">
        <f>SUM(AA$5:AA28)</f>
        <v>250906</v>
      </c>
      <c r="AD28" s="67">
        <f t="shared" si="10"/>
        <v>3.015542093286231E-2</v>
      </c>
      <c r="AE28" s="16"/>
      <c r="AF28" s="16">
        <f>VLOOKUP($E28,data!$A$2:$G$144,7)</f>
        <v>1576</v>
      </c>
      <c r="AG28" s="16">
        <f t="shared" si="11"/>
        <v>315.2</v>
      </c>
      <c r="AH28" s="16"/>
      <c r="AI28" s="42">
        <f>VLOOKUP($E28,data!$A$2:$E$144,5)</f>
        <v>356387</v>
      </c>
      <c r="AJ28" s="42">
        <f t="shared" si="12"/>
        <v>71277.399999999994</v>
      </c>
      <c r="AK28" s="32"/>
      <c r="AL28" s="56">
        <f t="shared" si="13"/>
        <v>0.85</v>
      </c>
      <c r="AM28" s="16">
        <f t="shared" si="14"/>
        <v>62989189.556950904</v>
      </c>
      <c r="AN28" s="16"/>
      <c r="AO28" s="16">
        <f t="shared" si="15"/>
        <v>6699</v>
      </c>
      <c r="AP28" s="16">
        <f t="shared" si="16"/>
        <v>40196</v>
      </c>
      <c r="AQ28" s="16">
        <f t="shared" si="17"/>
        <v>20098.015648478467</v>
      </c>
      <c r="AR28" s="16"/>
      <c r="AS28" s="16">
        <f t="shared" si="18"/>
        <v>72632</v>
      </c>
      <c r="AT28" s="16">
        <f t="shared" si="19"/>
        <v>1688521</v>
      </c>
      <c r="AU28" s="16">
        <f t="shared" si="20"/>
        <v>64238847</v>
      </c>
      <c r="AV28" s="16"/>
      <c r="AW28" s="16">
        <f ca="1">ROUND(AS28*Desire_severe*(1-SUM($BD$5:$BF27)/Population),0)</f>
        <v>70302</v>
      </c>
      <c r="AX28" s="16">
        <f ca="1">ROUND(AT28*Desire_mild*(1-SUM($BD$5:$BF27)/Population),0)</f>
        <v>817172</v>
      </c>
      <c r="AY28" s="16">
        <f ca="1">ROUND(AU28*Desire_asy*(1-SUM($BD$5:$BF27)/Population),0)</f>
        <v>1243555</v>
      </c>
      <c r="AZ28" s="16"/>
      <c r="BA28" s="42">
        <f>VLOOKUP($E28,data!$A$2:$F$144,6)</f>
        <v>10747</v>
      </c>
      <c r="BB28" s="42">
        <f t="shared" ca="1" si="22"/>
        <v>267073</v>
      </c>
      <c r="BC28" s="16"/>
      <c r="BD28" s="16">
        <f t="shared" ca="1" si="23"/>
        <v>70302</v>
      </c>
      <c r="BE28" s="16">
        <f t="shared" ca="1" si="24"/>
        <v>196771</v>
      </c>
      <c r="BF28" s="16">
        <f t="shared" ca="1" si="25"/>
        <v>0</v>
      </c>
      <c r="BG28" s="16"/>
      <c r="BH28" s="16">
        <f t="shared" ca="1" si="26"/>
        <v>0</v>
      </c>
      <c r="BI28" s="16">
        <f t="shared" ca="1" si="27"/>
        <v>620401</v>
      </c>
      <c r="BJ28" s="16">
        <f t="shared" ca="1" si="28"/>
        <v>1243555</v>
      </c>
      <c r="BK28" s="16"/>
      <c r="BL28" s="18">
        <f t="shared" si="29"/>
        <v>9.2232074016962221E-2</v>
      </c>
      <c r="BM28" s="18">
        <f t="shared" si="30"/>
        <v>2.3805448673720968E-2</v>
      </c>
      <c r="BN28" s="18">
        <f t="shared" si="31"/>
        <v>3.1286389135344329E-4</v>
      </c>
      <c r="BO28" s="16"/>
      <c r="BP28" s="16">
        <f t="shared" ca="1" si="32"/>
        <v>6479</v>
      </c>
      <c r="BQ28" s="16">
        <f t="shared" ca="1" si="33"/>
        <v>5410</v>
      </c>
      <c r="BR28" s="16">
        <f t="shared" ca="1" si="34"/>
        <v>0</v>
      </c>
      <c r="BS28" s="16"/>
      <c r="BT28" s="16">
        <f t="shared" ca="1" si="42"/>
        <v>11889</v>
      </c>
      <c r="BU28" s="20">
        <f t="shared" ca="1" si="44"/>
        <v>0.69081929110981988</v>
      </c>
      <c r="BV28" s="17">
        <f t="shared" ca="1" si="45"/>
        <v>4.4515918868623931E-2</v>
      </c>
    </row>
    <row r="29" spans="1:74" s="9" customFormat="1" ht="13" customHeight="1" x14ac:dyDescent="0.3">
      <c r="A29" s="15" t="s">
        <v>34</v>
      </c>
      <c r="B29" s="21">
        <v>0.5</v>
      </c>
      <c r="D29" s="35">
        <f t="shared" si="43"/>
        <v>24</v>
      </c>
      <c r="E29" s="38">
        <f t="shared" si="35"/>
        <v>43978</v>
      </c>
      <c r="F29" s="16"/>
      <c r="G29" s="43">
        <f t="shared" si="36"/>
        <v>0.81024134461597763</v>
      </c>
      <c r="H29" s="37">
        <f t="shared" si="0"/>
        <v>243.07871393842461</v>
      </c>
      <c r="I29" s="16">
        <f t="shared" si="37"/>
        <v>54322.932223001611</v>
      </c>
      <c r="J29" s="16">
        <f t="shared" si="1"/>
        <v>10864.586444600322</v>
      </c>
      <c r="K29" s="16">
        <f>SUM(I$5:I29)</f>
        <v>3065133.3752720975</v>
      </c>
      <c r="L29" s="16">
        <f t="shared" ca="1" si="2"/>
        <v>1127.7404313116242</v>
      </c>
      <c r="M29" s="16">
        <f t="shared" ca="1" si="3"/>
        <v>225.54808626232483</v>
      </c>
      <c r="N29" s="16">
        <f ca="1">SUM(L$5:L29)</f>
        <v>34726.842099647831</v>
      </c>
      <c r="O29" s="16"/>
      <c r="P29" s="27">
        <f t="shared" ca="1" si="38"/>
        <v>0.96643956598536462</v>
      </c>
      <c r="Q29" s="37">
        <f t="shared" ca="1" si="4"/>
        <v>80.193213837223212</v>
      </c>
      <c r="R29" s="16">
        <f t="shared" ca="1" si="5"/>
        <v>11889</v>
      </c>
      <c r="S29" s="16">
        <f t="shared" ca="1" si="6"/>
        <v>2377.8000000000002</v>
      </c>
      <c r="T29" s="16">
        <f ca="1">SUM(R$5:R29)</f>
        <v>260162</v>
      </c>
      <c r="U29" s="16"/>
      <c r="V29" s="17">
        <f t="shared" ca="1" si="7"/>
        <v>8.4877872558124789E-2</v>
      </c>
      <c r="W29" s="46">
        <f t="shared" ca="1" si="39"/>
        <v>0.21885784720151608</v>
      </c>
      <c r="X29" s="48">
        <f t="shared" ca="1" si="8"/>
        <v>4.4515918868623931E-2</v>
      </c>
      <c r="Y29" s="17"/>
      <c r="Z29" s="27">
        <f t="shared" si="40"/>
        <v>0.66589845659613101</v>
      </c>
      <c r="AA29" s="16">
        <f t="shared" si="41"/>
        <v>14319</v>
      </c>
      <c r="AB29" s="16">
        <f t="shared" si="9"/>
        <v>2863.8</v>
      </c>
      <c r="AC29" s="16">
        <f>SUM(AA$5:AA29)</f>
        <v>265225</v>
      </c>
      <c r="AD29" s="67">
        <f t="shared" si="10"/>
        <v>5.3614554822089842E-2</v>
      </c>
      <c r="AE29" s="16"/>
      <c r="AF29" s="16">
        <f>VLOOKUP($E29,data!$A$2:$G$144,7)</f>
        <v>1006</v>
      </c>
      <c r="AG29" s="16">
        <f t="shared" si="11"/>
        <v>201.2</v>
      </c>
      <c r="AH29" s="16"/>
      <c r="AI29" s="42">
        <f>VLOOKUP($E29,data!$A$2:$E$144,5)</f>
        <v>267073</v>
      </c>
      <c r="AJ29" s="42">
        <f t="shared" si="12"/>
        <v>53414.6</v>
      </c>
      <c r="AK29" s="32"/>
      <c r="AL29" s="56">
        <f t="shared" si="13"/>
        <v>0.85</v>
      </c>
      <c r="AM29" s="16">
        <f t="shared" si="14"/>
        <v>62934866.624727905</v>
      </c>
      <c r="AN29" s="16"/>
      <c r="AO29" s="16">
        <f t="shared" si="15"/>
        <v>5432</v>
      </c>
      <c r="AP29" s="16">
        <f t="shared" si="16"/>
        <v>32594</v>
      </c>
      <c r="AQ29" s="16">
        <f t="shared" si="17"/>
        <v>16296.932223001611</v>
      </c>
      <c r="AR29" s="16"/>
      <c r="AS29" s="16">
        <f t="shared" si="18"/>
        <v>71378</v>
      </c>
      <c r="AT29" s="16">
        <f t="shared" si="19"/>
        <v>1681236</v>
      </c>
      <c r="AU29" s="16">
        <f t="shared" si="20"/>
        <v>64247386</v>
      </c>
      <c r="AV29" s="16"/>
      <c r="AW29" s="16">
        <f ca="1">ROUND(AS29*Desire_severe*(1-SUM($BD$5:$BF28)/Population),0)</f>
        <v>68799</v>
      </c>
      <c r="AX29" s="16">
        <f ca="1">ROUND(AT29*Desire_mild*(1-SUM($BD$5:$BF28)/Population),0)</f>
        <v>810245</v>
      </c>
      <c r="AY29" s="16">
        <f ca="1">ROUND(AU29*Desire_asy*(1-SUM($BD$5:$BF28)/Population),0)</f>
        <v>1238520</v>
      </c>
      <c r="AZ29" s="16"/>
      <c r="BA29" s="42">
        <f>VLOOKUP($E29,data!$A$2:$F$144,6)</f>
        <v>14319</v>
      </c>
      <c r="BB29" s="42">
        <f t="shared" ca="1" si="22"/>
        <v>334561</v>
      </c>
      <c r="BC29" s="16"/>
      <c r="BD29" s="16">
        <f t="shared" ca="1" si="23"/>
        <v>68799</v>
      </c>
      <c r="BE29" s="16">
        <f t="shared" ca="1" si="24"/>
        <v>265762</v>
      </c>
      <c r="BF29" s="16">
        <f t="shared" ca="1" si="25"/>
        <v>0</v>
      </c>
      <c r="BG29" s="16"/>
      <c r="BH29" s="16">
        <f t="shared" ca="1" si="26"/>
        <v>0</v>
      </c>
      <c r="BI29" s="16">
        <f t="shared" ca="1" si="27"/>
        <v>544483</v>
      </c>
      <c r="BJ29" s="16">
        <f t="shared" ca="1" si="28"/>
        <v>1238520</v>
      </c>
      <c r="BK29" s="16"/>
      <c r="BL29" s="18">
        <f t="shared" si="29"/>
        <v>7.6101880131132837E-2</v>
      </c>
      <c r="BM29" s="18">
        <f t="shared" si="30"/>
        <v>1.9386927236866209E-2</v>
      </c>
      <c r="BN29" s="18">
        <f t="shared" si="31"/>
        <v>2.5365907062742773E-4</v>
      </c>
      <c r="BO29" s="16"/>
      <c r="BP29" s="16">
        <f t="shared" ca="1" si="32"/>
        <v>5292</v>
      </c>
      <c r="BQ29" s="16">
        <f t="shared" ca="1" si="33"/>
        <v>6198</v>
      </c>
      <c r="BR29" s="16">
        <f t="shared" ca="1" si="34"/>
        <v>0</v>
      </c>
      <c r="BS29" s="16"/>
      <c r="BT29" s="16">
        <f t="shared" ca="1" si="42"/>
        <v>11490</v>
      </c>
      <c r="BU29" s="20">
        <f t="shared" ca="1" si="44"/>
        <v>0.96643956598536462</v>
      </c>
      <c r="BV29" s="17">
        <f t="shared" ca="1" si="45"/>
        <v>3.4343512842202169E-2</v>
      </c>
    </row>
    <row r="30" spans="1:74" s="9" customFormat="1" ht="13" customHeight="1" x14ac:dyDescent="0.3">
      <c r="A30" s="15" t="s">
        <v>35</v>
      </c>
      <c r="B30" s="21">
        <v>0.02</v>
      </c>
      <c r="D30" s="35">
        <f t="shared" si="43"/>
        <v>25</v>
      </c>
      <c r="E30" s="38">
        <f t="shared" si="35"/>
        <v>43983</v>
      </c>
      <c r="F30" s="16"/>
      <c r="G30" s="43">
        <f t="shared" si="36"/>
        <v>0.80972842844883119</v>
      </c>
      <c r="H30" s="37">
        <f t="shared" si="0"/>
        <v>304.0725482672878</v>
      </c>
      <c r="I30" s="16">
        <f t="shared" si="37"/>
        <v>44014.685647847444</v>
      </c>
      <c r="J30" s="16">
        <f t="shared" si="1"/>
        <v>8802.9371295694891</v>
      </c>
      <c r="K30" s="16">
        <f>SUM(I$5:I30)</f>
        <v>3109148.0609199451</v>
      </c>
      <c r="L30" s="16">
        <f t="shared" ca="1" si="2"/>
        <v>916.27779657585506</v>
      </c>
      <c r="M30" s="16">
        <f t="shared" ca="1" si="3"/>
        <v>183.25555931517101</v>
      </c>
      <c r="N30" s="16">
        <f ca="1">SUM(L$5:L30)</f>
        <v>35643.119896223689</v>
      </c>
      <c r="O30" s="16"/>
      <c r="P30" s="27">
        <f t="shared" ca="1" si="38"/>
        <v>0.93167972149695388</v>
      </c>
      <c r="Q30" s="37">
        <f t="shared" ca="1" si="4"/>
        <v>89.668841426315922</v>
      </c>
      <c r="R30" s="16">
        <f t="shared" ca="1" si="5"/>
        <v>11490</v>
      </c>
      <c r="S30" s="16">
        <f t="shared" ca="1" si="6"/>
        <v>2298</v>
      </c>
      <c r="T30" s="16">
        <f ca="1">SUM(R$5:R30)</f>
        <v>271652</v>
      </c>
      <c r="U30" s="16"/>
      <c r="V30" s="17">
        <f t="shared" ca="1" si="7"/>
        <v>8.7371844208545893E-2</v>
      </c>
      <c r="W30" s="46">
        <f t="shared" ca="1" si="39"/>
        <v>0.26104923461067414</v>
      </c>
      <c r="X30" s="48">
        <f t="shared" ca="1" si="8"/>
        <v>3.4343512842202169E-2</v>
      </c>
      <c r="Y30" s="17"/>
      <c r="Z30" s="27">
        <f t="shared" si="40"/>
        <v>0.89659150498164653</v>
      </c>
      <c r="AA30" s="16">
        <f t="shared" si="41"/>
        <v>9535</v>
      </c>
      <c r="AB30" s="16">
        <f t="shared" si="9"/>
        <v>1907</v>
      </c>
      <c r="AC30" s="16">
        <f>SUM(AA$5:AA30)</f>
        <v>274760</v>
      </c>
      <c r="AD30" s="67">
        <f t="shared" si="10"/>
        <v>2.8500034373402757E-2</v>
      </c>
      <c r="AE30" s="16"/>
      <c r="AF30" s="16">
        <f>VLOOKUP($E30,data!$A$2:$G$144,7)</f>
        <v>1441</v>
      </c>
      <c r="AG30" s="16">
        <f t="shared" si="11"/>
        <v>288.2</v>
      </c>
      <c r="AH30" s="16"/>
      <c r="AI30" s="42">
        <f>VLOOKUP($E30,data!$A$2:$E$144,5)</f>
        <v>334561</v>
      </c>
      <c r="AJ30" s="42">
        <f t="shared" si="12"/>
        <v>66912.2</v>
      </c>
      <c r="AK30" s="32"/>
      <c r="AL30" s="56">
        <f t="shared" si="13"/>
        <v>0.85</v>
      </c>
      <c r="AM30" s="16">
        <f t="shared" si="14"/>
        <v>62890851.939080052</v>
      </c>
      <c r="AN30" s="16"/>
      <c r="AO30" s="16">
        <f t="shared" si="15"/>
        <v>4401</v>
      </c>
      <c r="AP30" s="16">
        <f t="shared" si="16"/>
        <v>26409</v>
      </c>
      <c r="AQ30" s="16">
        <f t="shared" si="17"/>
        <v>13204.685647847444</v>
      </c>
      <c r="AR30" s="16"/>
      <c r="AS30" s="16">
        <f t="shared" si="18"/>
        <v>70357</v>
      </c>
      <c r="AT30" s="16">
        <f t="shared" si="19"/>
        <v>1675309</v>
      </c>
      <c r="AU30" s="16">
        <f t="shared" si="20"/>
        <v>64254334</v>
      </c>
      <c r="AV30" s="16"/>
      <c r="AW30" s="16">
        <f ca="1">ROUND(AS30*Desire_severe*(1-SUM($BD$5:$BF29)/Population),0)</f>
        <v>67458</v>
      </c>
      <c r="AX30" s="16">
        <f ca="1">ROUND(AT30*Desire_mild*(1-SUM($BD$5:$BF29)/Population),0)</f>
        <v>803143</v>
      </c>
      <c r="AY30" s="16">
        <f ca="1">ROUND(AU30*Desire_asy*(1-SUM($BD$5:$BF29)/Population),0)</f>
        <v>1232140</v>
      </c>
      <c r="AZ30" s="16"/>
      <c r="BA30" s="42">
        <f>VLOOKUP($E30,data!$A$2:$F$144,6)</f>
        <v>9535</v>
      </c>
      <c r="BB30" s="42">
        <f t="shared" ca="1" si="22"/>
        <v>388125</v>
      </c>
      <c r="BC30" s="16"/>
      <c r="BD30" s="16">
        <f t="shared" ca="1" si="23"/>
        <v>67458</v>
      </c>
      <c r="BE30" s="16">
        <f t="shared" ca="1" si="24"/>
        <v>320667</v>
      </c>
      <c r="BF30" s="16">
        <f t="shared" ca="1" si="25"/>
        <v>0</v>
      </c>
      <c r="BG30" s="16"/>
      <c r="BH30" s="16">
        <f t="shared" ca="1" si="26"/>
        <v>0</v>
      </c>
      <c r="BI30" s="16">
        <f t="shared" ca="1" si="27"/>
        <v>482476</v>
      </c>
      <c r="BJ30" s="16">
        <f t="shared" ca="1" si="28"/>
        <v>1232140</v>
      </c>
      <c r="BK30" s="16"/>
      <c r="BL30" s="18">
        <f t="shared" si="29"/>
        <v>6.2552411273931519E-2</v>
      </c>
      <c r="BM30" s="18">
        <f t="shared" si="30"/>
        <v>1.5763659121988838E-2</v>
      </c>
      <c r="BN30" s="18">
        <f t="shared" si="31"/>
        <v>2.0550653669287809E-4</v>
      </c>
      <c r="BO30" s="16"/>
      <c r="BP30" s="16">
        <f t="shared" ca="1" si="32"/>
        <v>4325</v>
      </c>
      <c r="BQ30" s="16">
        <f t="shared" ca="1" si="33"/>
        <v>6380</v>
      </c>
      <c r="BR30" s="16">
        <f t="shared" ca="1" si="34"/>
        <v>0</v>
      </c>
      <c r="BS30" s="16"/>
      <c r="BT30" s="16">
        <f t="shared" ca="1" si="42"/>
        <v>10705</v>
      </c>
      <c r="BU30" s="20">
        <f t="shared" ca="1" si="44"/>
        <v>0.93167972149695388</v>
      </c>
      <c r="BV30" s="17">
        <f t="shared" ca="1" si="45"/>
        <v>2.7581320450885669E-2</v>
      </c>
    </row>
    <row r="31" spans="1:74" s="9" customFormat="1" ht="13" customHeight="1" x14ac:dyDescent="0.3">
      <c r="B31" s="8"/>
      <c r="D31" s="35">
        <f t="shared" si="43"/>
        <v>26</v>
      </c>
      <c r="E31" s="38">
        <f t="shared" si="35"/>
        <v>43988</v>
      </c>
      <c r="F31" s="16"/>
      <c r="G31" s="43">
        <f t="shared" si="36"/>
        <v>0.80931319921186939</v>
      </c>
      <c r="H31" s="37">
        <f t="shared" si="0"/>
        <v>379.59223591101511</v>
      </c>
      <c r="I31" s="16">
        <f t="shared" si="37"/>
        <v>35639.942238300835</v>
      </c>
      <c r="J31" s="16">
        <f t="shared" si="1"/>
        <v>7127.9884476601674</v>
      </c>
      <c r="K31" s="16">
        <f>SUM(I$5:I31)</f>
        <v>3144788.0031582462</v>
      </c>
      <c r="L31" s="16">
        <f t="shared" ca="1" si="2"/>
        <v>743.60802370157137</v>
      </c>
      <c r="M31" s="16">
        <f t="shared" ca="1" si="3"/>
        <v>148.72160474031426</v>
      </c>
      <c r="N31" s="16">
        <f ca="1">SUM(L$5:L31)</f>
        <v>36386.727919925259</v>
      </c>
      <c r="O31" s="16"/>
      <c r="P31" s="27">
        <f t="shared" ca="1" si="38"/>
        <v>0.79234002802428771</v>
      </c>
      <c r="Q31" s="37">
        <f t="shared" ca="1" si="4"/>
        <v>117.09508065367558</v>
      </c>
      <c r="R31" s="16">
        <f t="shared" ca="1" si="5"/>
        <v>10705</v>
      </c>
      <c r="S31" s="16">
        <f t="shared" ca="1" si="6"/>
        <v>2141</v>
      </c>
      <c r="T31" s="16">
        <f ca="1">SUM(R$5:R31)</f>
        <v>282357</v>
      </c>
      <c r="U31" s="16"/>
      <c r="V31" s="17">
        <f t="shared" ca="1" si="7"/>
        <v>8.9785702475472004E-2</v>
      </c>
      <c r="W31" s="46">
        <f t="shared" ca="1" si="39"/>
        <v>0.30036524549963384</v>
      </c>
      <c r="X31" s="48">
        <f t="shared" ca="1" si="8"/>
        <v>2.7581320450885669E-2</v>
      </c>
      <c r="Y31" s="17"/>
      <c r="Z31" s="27">
        <f t="shared" si="40"/>
        <v>0.7991577962334776</v>
      </c>
      <c r="AA31" s="16">
        <f t="shared" si="41"/>
        <v>8549</v>
      </c>
      <c r="AB31" s="16">
        <f t="shared" si="9"/>
        <v>1709.8</v>
      </c>
      <c r="AC31" s="16">
        <f>SUM(AA$5:AA31)</f>
        <v>283309</v>
      </c>
      <c r="AD31" s="67">
        <f t="shared" si="10"/>
        <v>2.2026409017713366E-2</v>
      </c>
      <c r="AE31" s="16"/>
      <c r="AF31" s="16">
        <f>VLOOKUP($E31,data!$A$2:$G$144,7)</f>
        <v>1772</v>
      </c>
      <c r="AG31" s="16">
        <f t="shared" si="11"/>
        <v>354.4</v>
      </c>
      <c r="AH31" s="16"/>
      <c r="AI31" s="42">
        <f>VLOOKUP($E31,data!$A$2:$E$144,5)</f>
        <v>388125</v>
      </c>
      <c r="AJ31" s="42">
        <f t="shared" si="12"/>
        <v>77625</v>
      </c>
      <c r="AK31" s="32"/>
      <c r="AL31" s="56">
        <f t="shared" si="13"/>
        <v>0.85</v>
      </c>
      <c r="AM31" s="16">
        <f t="shared" si="14"/>
        <v>62855211.996841751</v>
      </c>
      <c r="AN31" s="16"/>
      <c r="AO31" s="16">
        <f t="shared" si="15"/>
        <v>3564</v>
      </c>
      <c r="AP31" s="16">
        <f t="shared" si="16"/>
        <v>21384</v>
      </c>
      <c r="AQ31" s="16">
        <f t="shared" si="17"/>
        <v>10691.942238300835</v>
      </c>
      <c r="AR31" s="16"/>
      <c r="AS31" s="16">
        <f t="shared" si="18"/>
        <v>69528</v>
      </c>
      <c r="AT31" s="16">
        <f t="shared" si="19"/>
        <v>1670493</v>
      </c>
      <c r="AU31" s="16">
        <f t="shared" si="20"/>
        <v>64259979</v>
      </c>
      <c r="AV31" s="16"/>
      <c r="AW31" s="16">
        <f ca="1">ROUND(AS31*Desire_severe*(1-SUM($BD$5:$BF30)/Population),0)</f>
        <v>66255</v>
      </c>
      <c r="AX31" s="16">
        <f ca="1">ROUND(AT31*Desire_mild*(1-SUM($BD$5:$BF30)/Population),0)</f>
        <v>795922</v>
      </c>
      <c r="AY31" s="16">
        <f ca="1">ROUND(AU31*Desire_asy*(1-SUM($BD$5:$BF30)/Population),0)</f>
        <v>1224691</v>
      </c>
      <c r="AZ31" s="16"/>
      <c r="BA31" s="42">
        <f>VLOOKUP($E31,data!$A$2:$F$144,6)</f>
        <v>8549</v>
      </c>
      <c r="BB31" s="42">
        <f t="shared" ca="1" si="22"/>
        <v>355313</v>
      </c>
      <c r="BC31" s="16"/>
      <c r="BD31" s="16">
        <f t="shared" ca="1" si="23"/>
        <v>66255</v>
      </c>
      <c r="BE31" s="16">
        <f t="shared" ca="1" si="24"/>
        <v>289058</v>
      </c>
      <c r="BF31" s="16">
        <f t="shared" ca="1" si="25"/>
        <v>0</v>
      </c>
      <c r="BG31" s="16"/>
      <c r="BH31" s="16">
        <f t="shared" ca="1" si="26"/>
        <v>0</v>
      </c>
      <c r="BI31" s="16">
        <f t="shared" ca="1" si="27"/>
        <v>506864</v>
      </c>
      <c r="BJ31" s="16">
        <f t="shared" ca="1" si="28"/>
        <v>1224691</v>
      </c>
      <c r="BK31" s="16"/>
      <c r="BL31" s="18">
        <f t="shared" si="29"/>
        <v>5.1259924059371763E-2</v>
      </c>
      <c r="BM31" s="18">
        <f t="shared" si="30"/>
        <v>1.2801011437940775E-2</v>
      </c>
      <c r="BN31" s="18">
        <f t="shared" si="31"/>
        <v>1.6638571012139353E-4</v>
      </c>
      <c r="BO31" s="16"/>
      <c r="BP31" s="16">
        <f t="shared" ca="1" si="32"/>
        <v>3540</v>
      </c>
      <c r="BQ31" s="16">
        <f t="shared" ca="1" si="33"/>
        <v>4942</v>
      </c>
      <c r="BR31" s="16">
        <f t="shared" ca="1" si="34"/>
        <v>0</v>
      </c>
      <c r="BS31" s="16"/>
      <c r="BT31" s="16">
        <f t="shared" ca="1" si="42"/>
        <v>8482</v>
      </c>
      <c r="BU31" s="20">
        <f t="shared" ca="1" si="44"/>
        <v>0.79234002802428771</v>
      </c>
      <c r="BV31" s="17">
        <f t="shared" ca="1" si="45"/>
        <v>2.387191011868409E-2</v>
      </c>
    </row>
    <row r="32" spans="1:74" s="9" customFormat="1" ht="13" customHeight="1" x14ac:dyDescent="0.3">
      <c r="A32" s="15" t="s">
        <v>3</v>
      </c>
      <c r="B32" s="49">
        <v>0.05</v>
      </c>
      <c r="D32" s="35">
        <f t="shared" si="43"/>
        <v>27</v>
      </c>
      <c r="E32" s="38">
        <f t="shared" si="35"/>
        <v>43993</v>
      </c>
      <c r="F32" s="16"/>
      <c r="G32" s="43">
        <f t="shared" si="36"/>
        <v>0.80897720997306188</v>
      </c>
      <c r="H32" s="37">
        <f t="shared" si="0"/>
        <v>473.10094172567375</v>
      </c>
      <c r="I32" s="16">
        <f t="shared" si="37"/>
        <v>28843.875672605482</v>
      </c>
      <c r="J32" s="16">
        <f t="shared" si="1"/>
        <v>5768.7751345210963</v>
      </c>
      <c r="K32" s="16">
        <f>SUM(I$5:I32)</f>
        <v>3173631.8788308515</v>
      </c>
      <c r="L32" s="16">
        <f t="shared" ca="1" si="2"/>
        <v>602.91172727288506</v>
      </c>
      <c r="M32" s="16">
        <f t="shared" ca="1" si="3"/>
        <v>120.58234545457701</v>
      </c>
      <c r="N32" s="16">
        <f ca="1">SUM(L$5:L32)</f>
        <v>36989.639647198142</v>
      </c>
      <c r="O32" s="16"/>
      <c r="P32" s="27">
        <f t="shared" ca="1" si="38"/>
        <v>0.7807120962037255</v>
      </c>
      <c r="Q32" s="37">
        <f t="shared" ca="1" si="4"/>
        <v>153.94188452752365</v>
      </c>
      <c r="R32" s="16">
        <f t="shared" ca="1" si="5"/>
        <v>8482</v>
      </c>
      <c r="S32" s="16">
        <f t="shared" ca="1" si="6"/>
        <v>1696.4</v>
      </c>
      <c r="T32" s="16">
        <f ca="1">SUM(R$5:R32)</f>
        <v>290839</v>
      </c>
      <c r="U32" s="16"/>
      <c r="V32" s="17">
        <f t="shared" ca="1" si="7"/>
        <v>9.1642323717501695E-2</v>
      </c>
      <c r="W32" s="46">
        <f t="shared" ca="1" si="39"/>
        <v>0.29406589101532543</v>
      </c>
      <c r="X32" s="48">
        <f t="shared" ca="1" si="8"/>
        <v>2.387191011868409E-2</v>
      </c>
      <c r="Y32" s="17"/>
      <c r="Z32" s="27">
        <f t="shared" si="40"/>
        <v>0.98272833723653397</v>
      </c>
      <c r="AA32" s="16">
        <f t="shared" si="41"/>
        <v>6832</v>
      </c>
      <c r="AB32" s="16">
        <f t="shared" si="9"/>
        <v>1366.4</v>
      </c>
      <c r="AC32" s="16">
        <f>SUM(AA$5:AA32)</f>
        <v>290141</v>
      </c>
      <c r="AD32" s="67">
        <f t="shared" si="10"/>
        <v>1.9228117181189542E-2</v>
      </c>
      <c r="AE32" s="16"/>
      <c r="AF32" s="16">
        <f>VLOOKUP($E32,data!$A$2:$G$144,7)</f>
        <v>867</v>
      </c>
      <c r="AG32" s="16">
        <f t="shared" si="11"/>
        <v>173.4</v>
      </c>
      <c r="AH32" s="16"/>
      <c r="AI32" s="42">
        <f>VLOOKUP($E32,data!$A$2:$E$144,5)</f>
        <v>355313</v>
      </c>
      <c r="AJ32" s="42">
        <f t="shared" si="12"/>
        <v>71062.600000000006</v>
      </c>
      <c r="AK32" s="32"/>
      <c r="AL32" s="56">
        <f t="shared" si="13"/>
        <v>0.85</v>
      </c>
      <c r="AM32" s="16">
        <f t="shared" si="14"/>
        <v>62826368.12116915</v>
      </c>
      <c r="AN32" s="16"/>
      <c r="AO32" s="16">
        <f t="shared" si="15"/>
        <v>2884</v>
      </c>
      <c r="AP32" s="16">
        <f t="shared" si="16"/>
        <v>17306</v>
      </c>
      <c r="AQ32" s="16">
        <f t="shared" si="17"/>
        <v>8653.8756726054817</v>
      </c>
      <c r="AR32" s="16"/>
      <c r="AS32" s="16">
        <f t="shared" si="18"/>
        <v>68855</v>
      </c>
      <c r="AT32" s="16">
        <f t="shared" si="19"/>
        <v>1666585</v>
      </c>
      <c r="AU32" s="16">
        <f t="shared" si="20"/>
        <v>64264560</v>
      </c>
      <c r="AV32" s="16"/>
      <c r="AW32" s="16">
        <f ca="1">ROUND(AS32*Desire_severe*(1-SUM($BD$5:$BF31)/Population),0)</f>
        <v>65243</v>
      </c>
      <c r="AX32" s="16">
        <f ca="1">ROUND(AT32*Desire_mild*(1-SUM($BD$5:$BF31)/Population),0)</f>
        <v>789574</v>
      </c>
      <c r="AY32" s="16">
        <f ca="1">ROUND(AU32*Desire_asy*(1-SUM($BD$5:$BF31)/Population),0)</f>
        <v>1217858</v>
      </c>
      <c r="AZ32" s="16"/>
      <c r="BA32" s="42">
        <f>VLOOKUP($E32,data!$A$2:$F$144,6)</f>
        <v>6832</v>
      </c>
      <c r="BB32" s="42">
        <f t="shared" ca="1" si="22"/>
        <v>315928</v>
      </c>
      <c r="BC32" s="16"/>
      <c r="BD32" s="16">
        <f t="shared" ca="1" si="23"/>
        <v>65243</v>
      </c>
      <c r="BE32" s="16">
        <f t="shared" ca="1" si="24"/>
        <v>250685</v>
      </c>
      <c r="BF32" s="16">
        <f t="shared" ca="1" si="25"/>
        <v>0</v>
      </c>
      <c r="BG32" s="16"/>
      <c r="BH32" s="16">
        <f t="shared" ca="1" si="26"/>
        <v>0</v>
      </c>
      <c r="BI32" s="16">
        <f t="shared" ca="1" si="27"/>
        <v>538889</v>
      </c>
      <c r="BJ32" s="16">
        <f t="shared" ca="1" si="28"/>
        <v>1217858</v>
      </c>
      <c r="BK32" s="16"/>
      <c r="BL32" s="18">
        <f t="shared" si="29"/>
        <v>4.1885120906252273E-2</v>
      </c>
      <c r="BM32" s="18">
        <f t="shared" si="30"/>
        <v>1.0384108821332245E-2</v>
      </c>
      <c r="BN32" s="18">
        <f t="shared" si="31"/>
        <v>1.3466015596474141E-4</v>
      </c>
      <c r="BO32" s="16"/>
      <c r="BP32" s="16">
        <f t="shared" ca="1" si="32"/>
        <v>2909</v>
      </c>
      <c r="BQ32" s="16">
        <f t="shared" ca="1" si="33"/>
        <v>3713</v>
      </c>
      <c r="BR32" s="16">
        <f t="shared" ca="1" si="34"/>
        <v>0</v>
      </c>
      <c r="BS32" s="16"/>
      <c r="BT32" s="16">
        <f t="shared" ca="1" si="42"/>
        <v>6622</v>
      </c>
      <c r="BU32" s="20">
        <f t="shared" ca="1" si="44"/>
        <v>0.7807120962037255</v>
      </c>
      <c r="BV32" s="17">
        <f t="shared" ca="1" si="45"/>
        <v>2.0960472006279911E-2</v>
      </c>
    </row>
    <row r="33" spans="1:74" s="9" customFormat="1" ht="13" customHeight="1" x14ac:dyDescent="0.3">
      <c r="A33" s="15" t="s">
        <v>4</v>
      </c>
      <c r="B33" s="49">
        <v>5.0000000000000001E-3</v>
      </c>
      <c r="D33" s="35">
        <f t="shared" si="43"/>
        <v>28</v>
      </c>
      <c r="E33" s="38">
        <f t="shared" si="35"/>
        <v>43998</v>
      </c>
      <c r="F33" s="57"/>
      <c r="G33" s="43" t="str">
        <f t="shared" ref="G33" si="46">IF(OR(I33&lt;10,ISBLANK(I34)),"",I34/I33)</f>
        <v/>
      </c>
      <c r="H33" s="37" t="str">
        <f t="shared" ref="H33" si="47">IF(IF(OR(K33=0,ISBLANK(K34)),"",K34/K33)="","",IF(IF(OR(K33=0,ISBLANK(K34)),"",K34/K33)&lt;=1,"∞",Serial*(LN(2)/LN(IF(OR(K33=0,ISBLANK(K34)),"",K34/K33)))))</f>
        <v/>
      </c>
      <c r="I33" s="16">
        <f t="shared" ref="I33" si="48">AM32*(1-(1-((AL32)/Population))^I32)</f>
        <v>23334.038066434256</v>
      </c>
      <c r="J33" s="16">
        <f t="shared" si="1"/>
        <v>4666.8076132868509</v>
      </c>
      <c r="K33" s="16">
        <f>SUM(I$5:I33)</f>
        <v>3196965.9168972857</v>
      </c>
      <c r="L33" s="16">
        <f t="shared" ref="L33" ca="1" si="49">IF(ISERROR(SUM(OFFSET(I33,-Spread,0,Spread))*(1/Spread)*Pct_fatal),0,SUM(OFFSET(I33,-Spread,0,Spread))*(1/Spread)*Pct_fatal)</f>
        <v>488.46430734526609</v>
      </c>
      <c r="M33" s="16">
        <f t="shared" ca="1" si="3"/>
        <v>97.692861469053213</v>
      </c>
      <c r="N33" s="16">
        <f ca="1">SUM(L$5:L33)</f>
        <v>37478.103954543411</v>
      </c>
      <c r="O33" s="16"/>
      <c r="P33" s="27" t="str">
        <f t="shared" ref="P33" ca="1" si="50">IF(OR(R33&lt;10,ISBLANK(R34)),"",R34/R33)</f>
        <v/>
      </c>
      <c r="Q33" s="37" t="str">
        <f t="shared" ref="Q33" ca="1" si="51">IF(IF(OR(T33=0,ISBLANK(T34)),"",T34/T33)="","",IF(IF(OR(T33=0,ISBLANK(T34)),"",T34/T33)&lt;=1,"∞",Serial*(LN(2)/LN(IF(OR(T33=0,ISBLANK(T34)),"",T34/T33)))))</f>
        <v/>
      </c>
      <c r="R33" s="16">
        <f t="shared" ref="R33" ca="1" si="52">IF(ISERROR(OFFSET(BT33,-Delay,0)*1),0,OFFSET(BT33,-Delay,0))</f>
        <v>6622</v>
      </c>
      <c r="S33" s="16">
        <f t="shared" ca="1" si="6"/>
        <v>1324.4</v>
      </c>
      <c r="T33" s="16">
        <f ca="1">SUM(R$5:R33)</f>
        <v>297461</v>
      </c>
      <c r="U33" s="16"/>
      <c r="V33" s="17">
        <f t="shared" ref="V33" ca="1" si="53">T33/K33</f>
        <v>9.3044783001218656E-2</v>
      </c>
      <c r="W33" s="46">
        <f t="shared" ref="W33" ca="1" si="54">R33/I33</f>
        <v>0.28379142869084756</v>
      </c>
      <c r="X33" s="48">
        <f t="shared" ref="X33" ca="1" si="55">IF(AI33=0,"",R33/AI33)</f>
        <v>2.0960472006279911E-2</v>
      </c>
      <c r="Y33" s="17"/>
      <c r="Z33" s="27" t="str">
        <f t="shared" ref="Z33" si="56">IF(OR(AA33&lt;10,ISBLANK(AA34)),"",AA34/AA33)</f>
        <v/>
      </c>
      <c r="AA33" s="16">
        <f t="shared" ref="AA33" si="57">BA33</f>
        <v>6714</v>
      </c>
      <c r="AB33" s="16">
        <f t="shared" si="9"/>
        <v>1342.8</v>
      </c>
      <c r="AC33" s="16">
        <f>SUM(AA$5:AA33)</f>
        <v>296855</v>
      </c>
      <c r="AD33" s="67">
        <f t="shared" ref="AD33" si="58">IF(AI33=0,"",AA33/AI33)</f>
        <v>2.1251677597427261E-2</v>
      </c>
      <c r="AE33" s="16"/>
      <c r="AF33" s="16">
        <f>VLOOKUP($E33,data!$A$2:$G$144,7)</f>
        <v>608</v>
      </c>
      <c r="AG33" s="16">
        <f t="shared" si="11"/>
        <v>121.6</v>
      </c>
      <c r="AH33" s="16"/>
      <c r="AI33" s="42">
        <f>VLOOKUP($E33,data!$A$2:$E$144,5)</f>
        <v>315928</v>
      </c>
      <c r="AJ33" s="42">
        <f t="shared" si="12"/>
        <v>63185.599999999999</v>
      </c>
      <c r="AK33" s="32"/>
      <c r="AL33" s="56">
        <f t="shared" ref="AL33" si="59">IF(AND(D33&gt;=Begin_lockdown,Begin_lockdown&lt;&gt;""),Ro_lockdown,IF(AND(D33&gt;=Begin_intermediate,Begin_intermediate&lt;&gt;""),Ro_intermediate,Ro_uncontrolled))</f>
        <v>0.85</v>
      </c>
      <c r="AM33" s="16">
        <f t="shared" ref="AM33" si="60">Population-K33</f>
        <v>62803034.083102718</v>
      </c>
      <c r="AN33" s="16"/>
      <c r="AO33" s="16">
        <f t="shared" ref="AO33" si="61">ROUND(I33*(1-Pct_asy-Pct_mild),0)</f>
        <v>2333</v>
      </c>
      <c r="AP33" s="16">
        <f t="shared" ref="AP33" si="62">ROUND(I33*Pct_mild,0)</f>
        <v>14000</v>
      </c>
      <c r="AQ33" s="16">
        <f t="shared" ref="AQ33" si="63">I33-AO33-AP33</f>
        <v>7001.0380664342556</v>
      </c>
      <c r="AR33" s="16"/>
      <c r="AS33" s="16">
        <f t="shared" ref="AS33" si="64">ROUND((Population-SUM(AO33:AQ33))*(Faux_severe),0)+AO33</f>
        <v>68310</v>
      </c>
      <c r="AT33" s="16">
        <f t="shared" ref="AT33" si="65">ROUND((Population-SUM(AO33:AQ33))*(Faux_mild),0)+AP33</f>
        <v>1663417</v>
      </c>
      <c r="AU33" s="16">
        <f t="shared" ref="AU33" si="66">Population-AS33-AT33</f>
        <v>64268273</v>
      </c>
      <c r="AV33" s="16"/>
      <c r="AW33" s="16">
        <f ca="1">ROUND(AS33*Desire_severe*(1-SUM($BD$5:$BF32)/Population),0)</f>
        <v>64399</v>
      </c>
      <c r="AX33" s="16">
        <f ca="1">ROUND(AT33*Desire_mild*(1-SUM($BD$5:$BF32)/Population),0)</f>
        <v>784092</v>
      </c>
      <c r="AY33" s="16">
        <f ca="1">ROUND(AU33*Desire_asy*(1-SUM($BD$5:$BF32)/Population),0)</f>
        <v>1211776</v>
      </c>
      <c r="AZ33" s="16"/>
      <c r="BA33" s="42">
        <f>VLOOKUP($E33,data!$A$2:$F$144,6)</f>
        <v>6714</v>
      </c>
      <c r="BB33" s="42">
        <f t="shared" ref="BB33" ca="1" si="67">IF(ISERROR(0+OFFSET(AI33,Delay,0)),0,OFFSET(AI33,Delay,0))</f>
        <v>0</v>
      </c>
      <c r="BC33" s="16"/>
      <c r="BD33" s="16">
        <f t="shared" ref="BD33" ca="1" si="68">MIN(BB33,AW33)</f>
        <v>0</v>
      </c>
      <c r="BE33" s="16">
        <f t="shared" ref="BE33" ca="1" si="69">MIN(AX33,BB33-BD33)</f>
        <v>0</v>
      </c>
      <c r="BF33" s="16">
        <f t="shared" ref="BF33" ca="1" si="70">MIN(AY33,BB33-BD33-BE33)</f>
        <v>0</v>
      </c>
      <c r="BG33" s="16"/>
      <c r="BH33" s="16">
        <f t="shared" ref="BH33" ca="1" si="71">AW33-BD33</f>
        <v>64399</v>
      </c>
      <c r="BI33" s="16">
        <f t="shared" ref="BI33" ca="1" si="72">AX33-BE33</f>
        <v>784092</v>
      </c>
      <c r="BJ33" s="16">
        <f t="shared" ref="BJ33" ca="1" si="73">AY33-BF33</f>
        <v>1211776</v>
      </c>
      <c r="BK33" s="16"/>
      <c r="BL33" s="18">
        <f t="shared" ref="BL33" si="74">AO33/AS33</f>
        <v>3.4153125457473281E-2</v>
      </c>
      <c r="BM33" s="18">
        <f t="shared" ref="BM33" si="75">AP33/AT33</f>
        <v>8.4164103168357669E-3</v>
      </c>
      <c r="BN33" s="18">
        <f t="shared" ref="BN33" si="76">AQ33/AU33</f>
        <v>1.0893459151196198E-4</v>
      </c>
      <c r="BO33" s="16"/>
      <c r="BP33" s="16">
        <f t="shared" ref="BP33" ca="1" si="77">ROUND(BD33*BL33*(1-False_negative),0)+ROUND(BD33*(1-BL33)*(False_positive),0)</f>
        <v>0</v>
      </c>
      <c r="BQ33" s="16">
        <f t="shared" ref="BQ33" ca="1" si="78">ROUND(BE33*BM33*(1-False_negative),0)+ROUND(BE33*(1-BM33)*(False_positive),0)</f>
        <v>0</v>
      </c>
      <c r="BR33" s="16">
        <f t="shared" ref="BR33" ca="1" si="79">ROUND(BF33*BN33*(1-False_negative),0)+ROUND(BF33*(1-BN33)*(False_positive),0)</f>
        <v>0</v>
      </c>
      <c r="BS33" s="16"/>
      <c r="BT33" s="16">
        <f t="shared" ref="BT33" ca="1" si="80">BP33+BQ33+BR33</f>
        <v>0</v>
      </c>
      <c r="BU33" s="20">
        <f t="shared" ref="BU33" ca="1" si="81">IF(BT32=0,"",BT33/BT32)</f>
        <v>0</v>
      </c>
      <c r="BV33" s="17" t="e">
        <f t="shared" ref="BV33" ca="1" si="82">BT33/SUM(BD33:BF33)</f>
        <v>#DIV/0!</v>
      </c>
    </row>
    <row r="34" spans="1:74" s="9" customFormat="1" ht="13" customHeight="1" x14ac:dyDescent="0.45">
      <c r="B34" s="8"/>
      <c r="D34"/>
      <c r="E34"/>
      <c r="F34"/>
      <c r="G34"/>
      <c r="H34"/>
      <c r="I34"/>
      <c r="J34"/>
      <c r="K34"/>
      <c r="L34"/>
      <c r="M34"/>
      <c r="N34"/>
      <c r="O34"/>
      <c r="P34"/>
      <c r="Q34" s="37"/>
      <c r="R34" s="16"/>
      <c r="S34" s="16"/>
      <c r="T34" s="16"/>
      <c r="U34" s="16"/>
      <c r="V34" s="17"/>
      <c r="W34" s="17"/>
      <c r="X34" s="17"/>
      <c r="Y34" s="17"/>
      <c r="Z34" s="17"/>
      <c r="AA34" s="17"/>
      <c r="AB34" s="17"/>
      <c r="AC34" s="17"/>
      <c r="AD34" s="17"/>
      <c r="AE34" s="16"/>
      <c r="AF34" s="16"/>
      <c r="AG34" s="16"/>
      <c r="AH34" s="16"/>
      <c r="AI34" s="16"/>
      <c r="AJ34" s="16"/>
      <c r="AK34" s="32"/>
      <c r="AL34" s="27"/>
      <c r="AM34" s="16"/>
      <c r="AN34" s="16"/>
      <c r="AO34" s="16"/>
      <c r="AP34" s="16"/>
      <c r="AQ34" s="16"/>
      <c r="AR34" s="16"/>
      <c r="AS34" s="16"/>
      <c r="AT34" s="16"/>
      <c r="AU34" s="16"/>
      <c r="AV34" s="16"/>
      <c r="AW34" s="16"/>
      <c r="AX34" s="16"/>
      <c r="AY34" s="16"/>
      <c r="AZ34" s="16"/>
      <c r="BA34" s="16"/>
      <c r="BB34" s="42"/>
      <c r="BC34" s="16"/>
      <c r="BD34" s="16"/>
      <c r="BE34" s="16"/>
      <c r="BF34" s="16"/>
      <c r="BG34" s="16"/>
      <c r="BH34" s="16"/>
      <c r="BI34" s="16"/>
      <c r="BJ34" s="16"/>
      <c r="BK34" s="16"/>
      <c r="BL34" s="18"/>
      <c r="BM34" s="18"/>
      <c r="BN34" s="18"/>
      <c r="BO34" s="16"/>
      <c r="BP34" s="16"/>
      <c r="BQ34" s="16"/>
      <c r="BR34" s="16"/>
      <c r="BS34" s="16"/>
      <c r="BT34" s="16"/>
      <c r="BU34" s="20"/>
      <c r="BV34" s="17"/>
    </row>
    <row r="35" spans="1:74" s="9" customFormat="1" ht="13" customHeight="1" x14ac:dyDescent="0.45">
      <c r="A35" s="15" t="s">
        <v>36</v>
      </c>
      <c r="B35" s="8">
        <v>1</v>
      </c>
      <c r="D35"/>
      <c r="E35"/>
      <c r="F35"/>
      <c r="G35"/>
      <c r="H35"/>
      <c r="I35"/>
      <c r="J35"/>
      <c r="K35"/>
      <c r="L35"/>
      <c r="M35"/>
      <c r="N35"/>
      <c r="O35"/>
      <c r="P35"/>
      <c r="Q35" s="37"/>
      <c r="R35" s="16"/>
      <c r="S35" s="16"/>
      <c r="T35" s="16"/>
      <c r="U35" s="16"/>
      <c r="V35" s="17"/>
      <c r="W35" s="17"/>
      <c r="X35" s="17"/>
      <c r="Y35" s="17"/>
      <c r="Z35" s="17"/>
      <c r="AA35" s="17"/>
      <c r="AB35" s="17"/>
      <c r="AC35" s="17"/>
      <c r="AD35" s="17"/>
      <c r="AE35" s="16"/>
      <c r="AF35" s="16"/>
      <c r="AG35" s="16"/>
      <c r="AH35" s="16"/>
      <c r="AI35" s="16"/>
      <c r="AJ35" s="16"/>
      <c r="AK35" s="32"/>
      <c r="AL35" s="27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  <c r="AY35" s="16"/>
      <c r="AZ35" s="16"/>
      <c r="BA35" s="16"/>
      <c r="BB35" s="42"/>
      <c r="BC35" s="16"/>
      <c r="BD35" s="16"/>
      <c r="BE35" s="16"/>
      <c r="BF35" s="16"/>
      <c r="BG35" s="16"/>
      <c r="BH35" s="16"/>
      <c r="BI35" s="16"/>
      <c r="BJ35" s="16"/>
      <c r="BK35" s="16"/>
      <c r="BL35" s="18"/>
      <c r="BM35" s="18"/>
      <c r="BN35" s="18"/>
      <c r="BO35" s="16"/>
      <c r="BP35" s="16"/>
      <c r="BQ35" s="16"/>
      <c r="BR35" s="16"/>
      <c r="BS35" s="16"/>
      <c r="BT35" s="16"/>
      <c r="BU35" s="20"/>
      <c r="BV35" s="17"/>
    </row>
    <row r="36" spans="1:74" s="9" customFormat="1" ht="13" customHeight="1" x14ac:dyDescent="0.45">
      <c r="D36"/>
      <c r="E36"/>
      <c r="F36"/>
      <c r="G36"/>
      <c r="H36"/>
      <c r="I36"/>
      <c r="J36"/>
      <c r="K36"/>
      <c r="L36"/>
      <c r="M36"/>
      <c r="N36"/>
      <c r="O36"/>
      <c r="P36"/>
      <c r="Q36" s="37"/>
      <c r="R36" s="16"/>
      <c r="S36" s="16"/>
      <c r="T36" s="16"/>
      <c r="U36" s="16"/>
      <c r="V36" s="17"/>
      <c r="W36" s="17"/>
      <c r="X36" s="17"/>
      <c r="Y36" s="17"/>
      <c r="Z36" s="17"/>
      <c r="AA36" s="17"/>
      <c r="AB36" s="17"/>
      <c r="AC36" s="17"/>
      <c r="AD36" s="17"/>
      <c r="AE36" s="16"/>
      <c r="AF36" s="16"/>
      <c r="AG36" s="16"/>
      <c r="AH36" s="16"/>
      <c r="AI36" s="16"/>
      <c r="AJ36" s="16"/>
      <c r="AK36" s="32"/>
      <c r="AL36" s="27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6"/>
      <c r="AZ36" s="16"/>
      <c r="BA36" s="16"/>
      <c r="BB36" s="42"/>
      <c r="BC36" s="16"/>
      <c r="BD36" s="16"/>
      <c r="BE36" s="16"/>
      <c r="BF36" s="16"/>
      <c r="BG36" s="16"/>
      <c r="BH36" s="16"/>
      <c r="BI36" s="16"/>
      <c r="BJ36" s="16"/>
      <c r="BK36" s="16"/>
      <c r="BL36" s="18"/>
      <c r="BM36" s="18"/>
      <c r="BN36" s="18"/>
      <c r="BO36" s="16"/>
      <c r="BP36" s="16"/>
      <c r="BQ36" s="16"/>
      <c r="BR36" s="16"/>
      <c r="BS36" s="16"/>
      <c r="BT36" s="16"/>
      <c r="BU36" s="20"/>
      <c r="BV36" s="17"/>
    </row>
    <row r="37" spans="1:74" s="9" customFormat="1" ht="13" customHeight="1" x14ac:dyDescent="0.45">
      <c r="D37"/>
      <c r="E37"/>
      <c r="F37"/>
      <c r="G37"/>
      <c r="H37"/>
      <c r="I37"/>
      <c r="J37"/>
      <c r="K37"/>
      <c r="L37"/>
      <c r="M37"/>
      <c r="N37"/>
      <c r="O37"/>
      <c r="P37"/>
      <c r="Q37" s="37"/>
      <c r="R37" s="16"/>
      <c r="S37" s="16"/>
      <c r="T37" s="16"/>
      <c r="U37" s="16"/>
      <c r="V37" s="17"/>
      <c r="W37" s="17"/>
      <c r="X37" s="17"/>
      <c r="Y37" s="17"/>
      <c r="Z37" s="17"/>
      <c r="AA37" s="17"/>
      <c r="AB37" s="17"/>
      <c r="AC37" s="17"/>
      <c r="AD37" s="17"/>
      <c r="AE37" s="16"/>
      <c r="AF37" s="16"/>
      <c r="AG37" s="16"/>
      <c r="AH37" s="16"/>
      <c r="AI37" s="16"/>
      <c r="AJ37" s="16"/>
      <c r="AK37" s="32"/>
      <c r="AL37" s="27"/>
      <c r="AM37" s="16"/>
      <c r="AN37" s="16"/>
      <c r="AO37" s="16"/>
      <c r="AP37" s="16"/>
      <c r="AQ37" s="16"/>
      <c r="AR37" s="16"/>
      <c r="AS37" s="16"/>
      <c r="AT37" s="16"/>
      <c r="AU37" s="16"/>
      <c r="AV37" s="16"/>
      <c r="AW37" s="16"/>
      <c r="AX37" s="16"/>
      <c r="AY37" s="16"/>
      <c r="AZ37" s="16"/>
      <c r="BA37" s="16"/>
      <c r="BB37" s="42"/>
      <c r="BC37" s="16"/>
      <c r="BD37" s="16"/>
      <c r="BE37" s="16"/>
      <c r="BF37" s="16"/>
      <c r="BG37" s="16"/>
      <c r="BH37" s="16"/>
      <c r="BI37" s="16"/>
      <c r="BJ37" s="16"/>
      <c r="BK37" s="16"/>
      <c r="BL37" s="18"/>
      <c r="BM37" s="18"/>
      <c r="BN37" s="18"/>
      <c r="BO37" s="16"/>
      <c r="BP37" s="16"/>
      <c r="BQ37" s="16"/>
      <c r="BR37" s="16"/>
      <c r="BS37" s="16"/>
      <c r="BT37" s="16"/>
      <c r="BU37" s="20"/>
      <c r="BV37" s="17"/>
    </row>
    <row r="38" spans="1:74" s="9" customFormat="1" ht="13" customHeight="1" x14ac:dyDescent="0.45">
      <c r="D38"/>
      <c r="E38"/>
      <c r="F38"/>
      <c r="G38"/>
      <c r="H38"/>
      <c r="I38"/>
      <c r="J38"/>
      <c r="K38"/>
      <c r="L38"/>
      <c r="M38"/>
      <c r="N38"/>
      <c r="O38"/>
      <c r="P38"/>
      <c r="Q38" s="37"/>
      <c r="R38" s="16"/>
      <c r="S38" s="16"/>
      <c r="T38" s="16"/>
      <c r="U38" s="16"/>
      <c r="V38" s="17"/>
      <c r="W38" s="17"/>
      <c r="X38" s="17"/>
      <c r="Y38" s="17"/>
      <c r="Z38" s="17"/>
      <c r="AA38" s="17"/>
      <c r="AB38" s="17"/>
      <c r="AC38" s="17"/>
      <c r="AD38" s="17"/>
      <c r="AE38" s="16"/>
      <c r="AF38" s="16"/>
      <c r="AG38" s="16"/>
      <c r="AH38" s="16"/>
      <c r="AI38" s="16"/>
      <c r="AJ38" s="16"/>
      <c r="AK38" s="32"/>
      <c r="AL38" s="27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6"/>
      <c r="AZ38" s="16"/>
      <c r="BA38" s="16"/>
      <c r="BB38" s="42"/>
      <c r="BC38" s="16"/>
      <c r="BD38" s="16"/>
      <c r="BE38" s="16"/>
      <c r="BF38" s="16"/>
      <c r="BG38" s="16"/>
      <c r="BH38" s="16"/>
      <c r="BI38" s="16"/>
      <c r="BJ38" s="16"/>
      <c r="BK38" s="16"/>
      <c r="BL38" s="18"/>
      <c r="BM38" s="18"/>
      <c r="BN38" s="18"/>
      <c r="BO38" s="16"/>
      <c r="BP38" s="16"/>
      <c r="BQ38" s="16"/>
      <c r="BR38" s="16"/>
      <c r="BS38" s="16"/>
      <c r="BT38" s="16"/>
      <c r="BU38" s="20"/>
      <c r="BV38" s="17"/>
    </row>
    <row r="39" spans="1:74" s="9" customFormat="1" ht="13" customHeight="1" x14ac:dyDescent="0.45">
      <c r="D39"/>
      <c r="E39"/>
      <c r="F39"/>
      <c r="G39"/>
      <c r="H39"/>
      <c r="I39"/>
      <c r="J39"/>
      <c r="K39"/>
      <c r="L39"/>
      <c r="M39"/>
      <c r="N39"/>
      <c r="O39"/>
      <c r="P39"/>
      <c r="Q39" s="37"/>
      <c r="R39" s="16"/>
      <c r="S39" s="16"/>
      <c r="T39" s="16"/>
      <c r="U39" s="16"/>
      <c r="V39" s="17"/>
      <c r="W39" s="17"/>
      <c r="X39" s="17"/>
      <c r="Y39" s="17"/>
      <c r="Z39" s="17"/>
      <c r="AA39" s="17"/>
      <c r="AB39" s="17"/>
      <c r="AC39" s="17"/>
      <c r="AD39" s="17"/>
      <c r="AE39" s="16"/>
      <c r="AF39" s="16"/>
      <c r="AG39" s="16"/>
      <c r="AH39" s="16"/>
      <c r="AI39" s="16"/>
      <c r="AJ39" s="16"/>
      <c r="AK39" s="32"/>
      <c r="AL39" s="27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6"/>
      <c r="BB39" s="42"/>
      <c r="BC39" s="16"/>
      <c r="BD39" s="16"/>
      <c r="BE39" s="16"/>
      <c r="BF39" s="16"/>
      <c r="BG39" s="16"/>
      <c r="BH39" s="16"/>
      <c r="BI39" s="16"/>
      <c r="BJ39" s="16"/>
      <c r="BK39" s="16"/>
      <c r="BL39" s="18"/>
      <c r="BM39" s="18"/>
      <c r="BN39" s="18"/>
      <c r="BO39" s="16"/>
      <c r="BP39" s="16"/>
      <c r="BQ39" s="16"/>
      <c r="BR39" s="16"/>
      <c r="BS39" s="16"/>
      <c r="BT39" s="16"/>
      <c r="BU39" s="20"/>
      <c r="BV39" s="17"/>
    </row>
    <row r="40" spans="1:74" s="9" customFormat="1" ht="13" customHeight="1" x14ac:dyDescent="0.45">
      <c r="A40" s="45" t="s">
        <v>72</v>
      </c>
      <c r="D40"/>
      <c r="E40"/>
      <c r="F40"/>
      <c r="G40"/>
      <c r="H40"/>
      <c r="I40"/>
      <c r="J40"/>
      <c r="K40"/>
      <c r="L40"/>
      <c r="M40"/>
      <c r="N40"/>
      <c r="O40"/>
      <c r="P40"/>
      <c r="Q40" s="37"/>
      <c r="R40" s="16"/>
      <c r="S40" s="16"/>
      <c r="T40" s="16"/>
      <c r="U40" s="16"/>
      <c r="V40" s="17"/>
      <c r="W40" s="17"/>
      <c r="X40" s="17"/>
      <c r="Y40" s="17"/>
      <c r="Z40" s="17"/>
      <c r="AA40" s="17"/>
      <c r="AB40" s="17"/>
      <c r="AC40" s="17"/>
      <c r="AD40" s="17"/>
      <c r="AE40" s="16"/>
      <c r="AF40" s="16"/>
      <c r="AG40" s="16"/>
      <c r="AH40" s="16"/>
      <c r="AI40" s="16"/>
      <c r="AJ40" s="16"/>
      <c r="AK40" s="32"/>
      <c r="AL40" s="27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6"/>
      <c r="BK40" s="16"/>
      <c r="BL40" s="18"/>
      <c r="BM40" s="18"/>
      <c r="BN40" s="18"/>
      <c r="BO40" s="16"/>
      <c r="BP40" s="16"/>
      <c r="BQ40" s="16"/>
      <c r="BR40" s="16"/>
      <c r="BS40" s="16"/>
      <c r="BT40" s="16"/>
      <c r="BU40" s="20"/>
      <c r="BV40" s="17"/>
    </row>
    <row r="41" spans="1:74" s="9" customFormat="1" ht="13" customHeight="1" x14ac:dyDescent="0.45">
      <c r="A41" s="45" t="s">
        <v>73</v>
      </c>
      <c r="D41"/>
      <c r="E41"/>
      <c r="F41"/>
      <c r="G41"/>
      <c r="H41"/>
      <c r="I41"/>
      <c r="J41"/>
      <c r="K41"/>
      <c r="L41"/>
      <c r="M41"/>
      <c r="N41"/>
      <c r="O41"/>
      <c r="P41"/>
      <c r="Q41" s="37"/>
      <c r="R41" s="16"/>
      <c r="S41" s="16"/>
      <c r="T41" s="16"/>
      <c r="U41" s="16"/>
      <c r="V41" s="17"/>
      <c r="W41" s="17"/>
      <c r="X41" s="17"/>
      <c r="Y41" s="17"/>
      <c r="Z41" s="17"/>
      <c r="AA41" s="17"/>
      <c r="AB41" s="17"/>
      <c r="AC41" s="17"/>
      <c r="AD41" s="17"/>
      <c r="AE41" s="16"/>
      <c r="AF41" s="16"/>
      <c r="AG41" s="16"/>
      <c r="AH41" s="16"/>
      <c r="AI41" s="16"/>
      <c r="AJ41" s="16"/>
      <c r="AK41" s="32"/>
      <c r="AL41" s="27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  <c r="AX41" s="16"/>
      <c r="AY41" s="16"/>
      <c r="AZ41" s="16"/>
      <c r="BA41" s="16"/>
      <c r="BB41" s="16"/>
      <c r="BC41" s="16"/>
      <c r="BD41" s="16"/>
      <c r="BE41" s="16"/>
      <c r="BF41" s="16"/>
      <c r="BG41" s="16"/>
      <c r="BH41" s="16"/>
      <c r="BI41" s="16"/>
      <c r="BJ41" s="16"/>
      <c r="BK41" s="16"/>
      <c r="BL41" s="18"/>
      <c r="BM41" s="18"/>
      <c r="BN41" s="18"/>
      <c r="BO41" s="16"/>
      <c r="BP41" s="16"/>
      <c r="BQ41" s="16"/>
      <c r="BR41" s="16"/>
      <c r="BS41" s="16"/>
      <c r="BT41" s="16"/>
      <c r="BU41" s="20"/>
      <c r="BV41" s="17"/>
    </row>
    <row r="42" spans="1:74" ht="14.05" customHeight="1" x14ac:dyDescent="0.4">
      <c r="A42" s="45"/>
      <c r="F42" s="1"/>
      <c r="I42" s="1"/>
      <c r="J42" s="1"/>
      <c r="K42" s="1"/>
      <c r="L42" s="1"/>
      <c r="M42" s="1"/>
      <c r="N42" s="1"/>
      <c r="O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33"/>
      <c r="AL42" s="28"/>
      <c r="AM42" s="1"/>
      <c r="AN42" s="1"/>
      <c r="AR42" s="1"/>
      <c r="AV42" s="1"/>
      <c r="BA42" s="1"/>
      <c r="BC42" s="1"/>
      <c r="BK42" s="1"/>
      <c r="BO42" s="1"/>
      <c r="BS42" s="1"/>
    </row>
    <row r="43" spans="1:74" ht="14.05" customHeight="1" x14ac:dyDescent="0.35">
      <c r="F43" s="1"/>
      <c r="I43" s="1"/>
      <c r="J43" s="1"/>
      <c r="K43" s="1"/>
      <c r="L43" s="1"/>
      <c r="M43" s="1"/>
      <c r="N43" s="1"/>
      <c r="O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33"/>
      <c r="AL43" s="28"/>
      <c r="AM43" s="1"/>
      <c r="AN43" s="1"/>
      <c r="AR43" s="1"/>
      <c r="AV43" s="1"/>
      <c r="BA43" s="1"/>
      <c r="BC43" s="1"/>
      <c r="BK43" s="1"/>
      <c r="BO43" s="1"/>
      <c r="BS43" s="1"/>
    </row>
    <row r="44" spans="1:74" ht="14.05" customHeight="1" x14ac:dyDescent="0.4">
      <c r="A44" s="45" t="s">
        <v>74</v>
      </c>
      <c r="F44" s="1"/>
      <c r="I44" s="1"/>
      <c r="J44" s="1"/>
      <c r="K44" s="1"/>
      <c r="L44" s="1"/>
      <c r="M44" s="1"/>
      <c r="N44" s="1"/>
      <c r="O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33"/>
      <c r="AL44" s="28"/>
      <c r="AM44" s="1"/>
      <c r="AN44" s="1"/>
      <c r="AR44" s="1"/>
      <c r="AV44" s="1"/>
      <c r="BA44" s="1"/>
      <c r="BC44" s="1"/>
      <c r="BK44" s="1"/>
      <c r="BO44" s="1"/>
      <c r="BS44" s="1"/>
    </row>
    <row r="45" spans="1:74" ht="14.05" customHeight="1" x14ac:dyDescent="0.4">
      <c r="A45" s="45" t="s">
        <v>75</v>
      </c>
      <c r="F45" s="1"/>
      <c r="I45" s="1"/>
      <c r="J45" s="1"/>
      <c r="K45" s="1"/>
      <c r="L45" s="1"/>
      <c r="M45" s="1"/>
      <c r="N45" s="1"/>
      <c r="O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33"/>
      <c r="AL45" s="28"/>
      <c r="AM45" s="1"/>
      <c r="AN45" s="1"/>
      <c r="AR45" s="1"/>
      <c r="AV45" s="1"/>
      <c r="BA45" s="1"/>
      <c r="BC45" s="1"/>
      <c r="BK45" s="1"/>
      <c r="BO45" s="1"/>
      <c r="BS45" s="1"/>
    </row>
    <row r="46" spans="1:74" ht="14.05" customHeight="1" x14ac:dyDescent="0.35">
      <c r="F46" s="1"/>
      <c r="I46" s="1"/>
      <c r="J46" s="1"/>
      <c r="K46" s="1"/>
      <c r="L46" s="1"/>
      <c r="M46" s="1"/>
      <c r="N46" s="1"/>
      <c r="O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33"/>
      <c r="AL46" s="28"/>
      <c r="AM46" s="1"/>
      <c r="AN46" s="1"/>
      <c r="AR46" s="1"/>
      <c r="AV46" s="1"/>
      <c r="BA46" s="1"/>
      <c r="BC46" s="1"/>
      <c r="BK46" s="1"/>
      <c r="BO46" s="1"/>
      <c r="BS46" s="1"/>
    </row>
    <row r="47" spans="1:74" ht="14.05" customHeight="1" x14ac:dyDescent="0.4">
      <c r="A47" s="45"/>
      <c r="F47" s="1"/>
      <c r="I47" s="1"/>
      <c r="J47" s="1"/>
      <c r="K47" s="1"/>
      <c r="L47" s="1"/>
      <c r="M47" s="1"/>
      <c r="N47" s="1"/>
      <c r="O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33"/>
      <c r="AL47" s="28"/>
      <c r="AM47" s="1"/>
      <c r="AN47" s="1"/>
      <c r="AR47" s="1"/>
      <c r="AV47" s="1"/>
      <c r="BA47" s="1"/>
      <c r="BC47" s="1"/>
      <c r="BK47" s="1"/>
      <c r="BO47" s="1"/>
      <c r="BS47" s="1"/>
    </row>
    <row r="48" spans="1:74" ht="14.05" customHeight="1" x14ac:dyDescent="0.4">
      <c r="A48" s="45"/>
      <c r="F48" s="1"/>
      <c r="I48" s="1"/>
      <c r="J48" s="1"/>
      <c r="K48" s="1"/>
      <c r="L48" s="1"/>
      <c r="M48" s="1"/>
      <c r="N48" s="1"/>
      <c r="O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33"/>
      <c r="AL48" s="28"/>
      <c r="AM48" s="1"/>
      <c r="AN48" s="1"/>
      <c r="AR48" s="1"/>
      <c r="AV48" s="1"/>
      <c r="BA48" s="1"/>
      <c r="BC48" s="1"/>
      <c r="BK48" s="1"/>
      <c r="BO48" s="1"/>
      <c r="BS48" s="1"/>
    </row>
    <row r="49" spans="6:71" ht="14.05" customHeight="1" x14ac:dyDescent="0.35">
      <c r="F49" s="1"/>
      <c r="I49" s="1"/>
      <c r="J49" s="1"/>
      <c r="K49" s="1"/>
      <c r="L49" s="1"/>
      <c r="M49" s="1"/>
      <c r="N49" s="1"/>
      <c r="O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33"/>
      <c r="AL49" s="28"/>
      <c r="AM49" s="1"/>
      <c r="AN49" s="1"/>
      <c r="AR49" s="1"/>
      <c r="AV49" s="1"/>
      <c r="BA49" s="1"/>
      <c r="BC49" s="1"/>
      <c r="BK49" s="1"/>
      <c r="BO49" s="1"/>
      <c r="BS49" s="1"/>
    </row>
    <row r="50" spans="6:71" ht="14.05" customHeight="1" x14ac:dyDescent="0.35">
      <c r="F50" s="1"/>
      <c r="I50" s="1"/>
      <c r="J50" s="1"/>
      <c r="K50" s="1"/>
      <c r="L50" s="1"/>
      <c r="M50" s="1"/>
      <c r="N50" s="1"/>
      <c r="O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33"/>
      <c r="AL50" s="28"/>
      <c r="AM50" s="1"/>
      <c r="AN50" s="1"/>
      <c r="AR50" s="1"/>
      <c r="AV50" s="1"/>
      <c r="BA50" s="1"/>
      <c r="BC50" s="1"/>
      <c r="BK50" s="1"/>
      <c r="BO50" s="1"/>
      <c r="BS50" s="1"/>
    </row>
    <row r="51" spans="6:71" ht="14.05" customHeight="1" x14ac:dyDescent="0.35">
      <c r="F51" s="1"/>
      <c r="I51" s="1"/>
      <c r="J51" s="1"/>
      <c r="K51" s="1"/>
      <c r="L51" s="1"/>
      <c r="M51" s="1"/>
      <c r="N51" s="1"/>
      <c r="O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33"/>
      <c r="AL51" s="28"/>
      <c r="AM51" s="1"/>
      <c r="AN51" s="1"/>
      <c r="AR51" s="1"/>
      <c r="AV51" s="1"/>
      <c r="BA51" s="1"/>
      <c r="BC51" s="1"/>
      <c r="BK51" s="1"/>
      <c r="BO51" s="1"/>
      <c r="BS51" s="1"/>
    </row>
    <row r="52" spans="6:71" ht="14.05" customHeight="1" x14ac:dyDescent="0.35">
      <c r="F52" s="1"/>
      <c r="I52" s="1"/>
      <c r="J52" s="1"/>
      <c r="K52" s="1"/>
      <c r="L52" s="1"/>
      <c r="M52" s="1"/>
      <c r="N52" s="1"/>
      <c r="O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33"/>
      <c r="AL52" s="28"/>
      <c r="AM52" s="1"/>
      <c r="AN52" s="1"/>
      <c r="AR52" s="1"/>
      <c r="AV52" s="1"/>
      <c r="BA52" s="1"/>
      <c r="BC52" s="1"/>
      <c r="BK52" s="1"/>
      <c r="BO52" s="1"/>
      <c r="BS52" s="1"/>
    </row>
    <row r="53" spans="6:71" ht="14.05" customHeight="1" x14ac:dyDescent="0.35">
      <c r="F53" s="1"/>
      <c r="I53" s="1"/>
      <c r="J53" s="1"/>
      <c r="K53" s="1"/>
      <c r="L53" s="1"/>
      <c r="M53" s="1"/>
      <c r="N53" s="1"/>
      <c r="O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33"/>
      <c r="AL53" s="28"/>
      <c r="AM53" s="1"/>
      <c r="AN53" s="1"/>
      <c r="AR53" s="1"/>
      <c r="AV53" s="1"/>
      <c r="BA53" s="1"/>
      <c r="BC53" s="1"/>
      <c r="BK53" s="1"/>
      <c r="BO53" s="1"/>
      <c r="BS53" s="1"/>
    </row>
    <row r="54" spans="6:71" ht="14.05" customHeight="1" x14ac:dyDescent="0.35">
      <c r="F54" s="1"/>
      <c r="I54" s="1"/>
      <c r="J54" s="1"/>
      <c r="K54" s="1"/>
      <c r="L54" s="1"/>
      <c r="M54" s="1"/>
      <c r="N54" s="1"/>
      <c r="O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33"/>
      <c r="AL54" s="28"/>
      <c r="AM54" s="1"/>
      <c r="AN54" s="1"/>
      <c r="AR54" s="1"/>
      <c r="AV54" s="1"/>
      <c r="BA54" s="1"/>
      <c r="BC54" s="1"/>
      <c r="BK54" s="1"/>
      <c r="BO54" s="1"/>
      <c r="BS54" s="1"/>
    </row>
    <row r="55" spans="6:71" ht="14.05" customHeight="1" x14ac:dyDescent="0.35">
      <c r="F55" s="1"/>
      <c r="I55" s="1"/>
      <c r="J55" s="1"/>
      <c r="K55" s="1"/>
      <c r="L55" s="1"/>
      <c r="M55" s="1"/>
      <c r="N55" s="1"/>
      <c r="O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33"/>
      <c r="AL55" s="28"/>
      <c r="AM55" s="1"/>
      <c r="AN55" s="1"/>
      <c r="AR55" s="1"/>
      <c r="AV55" s="1"/>
      <c r="BA55" s="1"/>
      <c r="BC55" s="1"/>
      <c r="BK55" s="1"/>
      <c r="BO55" s="1"/>
      <c r="BS55" s="1"/>
    </row>
    <row r="56" spans="6:71" ht="14.05" customHeight="1" x14ac:dyDescent="0.35">
      <c r="F56" s="1"/>
      <c r="I56" s="1"/>
      <c r="J56" s="1"/>
      <c r="K56" s="1"/>
      <c r="L56" s="1"/>
      <c r="M56" s="1"/>
      <c r="N56" s="1"/>
      <c r="O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33"/>
      <c r="AL56" s="28"/>
      <c r="AM56" s="1"/>
      <c r="AN56" s="1"/>
      <c r="AR56" s="1"/>
      <c r="AV56" s="1"/>
      <c r="BA56" s="1"/>
      <c r="BC56" s="1"/>
      <c r="BK56" s="1"/>
      <c r="BO56" s="1"/>
      <c r="BS56" s="1"/>
    </row>
    <row r="57" spans="6:71" ht="14.05" customHeight="1" x14ac:dyDescent="0.35">
      <c r="F57" s="1"/>
      <c r="I57" s="1"/>
      <c r="J57" s="1"/>
      <c r="K57" s="1"/>
      <c r="L57" s="1"/>
      <c r="M57" s="1"/>
      <c r="N57" s="1"/>
      <c r="O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33"/>
      <c r="AL57" s="28"/>
      <c r="AM57" s="1"/>
      <c r="AN57" s="1"/>
      <c r="AR57" s="1"/>
      <c r="AV57" s="1"/>
      <c r="BA57" s="1"/>
      <c r="BC57" s="1"/>
      <c r="BK57" s="1"/>
      <c r="BO57" s="1"/>
      <c r="BS57" s="1"/>
    </row>
    <row r="58" spans="6:71" ht="14.05" customHeight="1" x14ac:dyDescent="0.35">
      <c r="F58" s="1"/>
      <c r="I58" s="1"/>
      <c r="J58" s="1"/>
      <c r="K58" s="1"/>
      <c r="L58" s="1"/>
      <c r="M58" s="1"/>
      <c r="N58" s="1"/>
      <c r="O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33"/>
      <c r="AL58" s="28"/>
      <c r="AM58" s="1"/>
      <c r="AN58" s="1"/>
      <c r="AR58" s="1"/>
      <c r="AV58" s="1"/>
      <c r="BA58" s="1"/>
      <c r="BC58" s="1"/>
      <c r="BK58" s="1"/>
      <c r="BO58" s="1"/>
      <c r="BS58" s="1"/>
    </row>
    <row r="59" spans="6:71" ht="14.05" customHeight="1" x14ac:dyDescent="0.35">
      <c r="F59" s="1"/>
      <c r="I59" s="1"/>
      <c r="J59" s="1"/>
      <c r="K59" s="1"/>
      <c r="L59" s="1"/>
      <c r="M59" s="1"/>
      <c r="N59" s="1"/>
      <c r="O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33"/>
      <c r="AL59" s="28"/>
      <c r="AM59" s="1"/>
      <c r="AN59" s="1"/>
      <c r="AR59" s="1"/>
      <c r="AV59" s="1"/>
      <c r="BA59" s="1"/>
      <c r="BC59" s="1"/>
      <c r="BK59" s="1"/>
      <c r="BO59" s="1"/>
      <c r="BS59" s="1"/>
    </row>
    <row r="60" spans="6:71" ht="14.05" customHeight="1" x14ac:dyDescent="0.35">
      <c r="F60" s="1"/>
      <c r="I60" s="1"/>
      <c r="J60" s="1"/>
      <c r="K60" s="1"/>
      <c r="L60" s="1"/>
      <c r="M60" s="1"/>
      <c r="N60" s="1"/>
      <c r="O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33"/>
      <c r="AL60" s="28"/>
      <c r="AM60" s="1"/>
      <c r="AN60" s="1"/>
      <c r="AR60" s="1"/>
      <c r="AV60" s="1"/>
      <c r="BA60" s="1"/>
      <c r="BC60" s="1"/>
      <c r="BK60" s="1"/>
      <c r="BO60" s="1"/>
      <c r="BS60" s="1"/>
    </row>
    <row r="61" spans="6:71" ht="14.05" customHeight="1" x14ac:dyDescent="0.35">
      <c r="F61" s="1"/>
      <c r="I61" s="1"/>
      <c r="J61" s="1"/>
      <c r="K61" s="1"/>
      <c r="L61" s="1"/>
      <c r="M61" s="1"/>
      <c r="N61" s="1"/>
      <c r="O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33"/>
      <c r="AL61" s="28"/>
      <c r="AM61" s="1"/>
      <c r="AN61" s="1"/>
      <c r="AR61" s="1"/>
      <c r="AV61" s="1"/>
      <c r="BA61" s="1"/>
      <c r="BC61" s="1"/>
      <c r="BK61" s="1"/>
      <c r="BO61" s="1"/>
      <c r="BS61" s="1"/>
    </row>
    <row r="62" spans="6:71" ht="14.05" customHeight="1" x14ac:dyDescent="0.35">
      <c r="F62" s="1"/>
      <c r="I62" s="1"/>
      <c r="J62" s="1"/>
      <c r="K62" s="1"/>
      <c r="L62" s="1"/>
      <c r="M62" s="1"/>
      <c r="N62" s="1"/>
      <c r="O62" s="1"/>
      <c r="R62" s="1"/>
      <c r="S62" s="1"/>
      <c r="T62" s="1"/>
      <c r="U62" s="1"/>
      <c r="V62" s="1"/>
      <c r="W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33"/>
      <c r="AL62" s="28"/>
      <c r="AM62" s="1"/>
      <c r="AN62" s="1"/>
      <c r="AR62" s="1"/>
      <c r="AV62" s="1"/>
      <c r="BA62" s="1"/>
      <c r="BC62" s="1"/>
      <c r="BK62" s="1"/>
      <c r="BO62" s="1"/>
      <c r="BS62" s="1"/>
    </row>
    <row r="63" spans="6:71" ht="14.05" customHeight="1" x14ac:dyDescent="0.35">
      <c r="F63" s="1"/>
      <c r="I63" s="1"/>
      <c r="J63" s="1"/>
      <c r="K63" s="1"/>
      <c r="L63" s="1"/>
      <c r="M63" s="1"/>
      <c r="N63" s="1"/>
      <c r="O63" s="1"/>
      <c r="R63" s="1"/>
      <c r="S63" s="1"/>
      <c r="T63" s="1"/>
      <c r="U63" s="1"/>
      <c r="V63" s="1"/>
      <c r="W63" s="7"/>
      <c r="X63" s="54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33"/>
      <c r="AL63" s="28"/>
      <c r="AM63" s="1"/>
      <c r="AN63" s="1"/>
      <c r="AR63" s="1"/>
      <c r="AV63" s="1"/>
      <c r="BA63" s="1"/>
      <c r="BC63" s="1"/>
      <c r="BK63" s="1"/>
      <c r="BO63" s="1"/>
      <c r="BS63" s="1"/>
    </row>
    <row r="64" spans="6:71" ht="14.05" customHeight="1" x14ac:dyDescent="0.35">
      <c r="F64" s="1"/>
      <c r="I64" s="1"/>
      <c r="J64" s="1"/>
      <c r="K64" s="1"/>
      <c r="L64" s="1"/>
      <c r="M64" s="1"/>
      <c r="N64" s="1"/>
      <c r="O64" s="1"/>
      <c r="R64" s="1"/>
      <c r="S64" s="1"/>
      <c r="T64" s="1"/>
      <c r="U64" s="1"/>
      <c r="V64" s="1"/>
      <c r="W64" s="55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33"/>
      <c r="AL64" s="28"/>
      <c r="AM64" s="1"/>
      <c r="AN64" s="1"/>
      <c r="AR64" s="1"/>
      <c r="AV64" s="1"/>
      <c r="BA64" s="1"/>
      <c r="BC64" s="1"/>
      <c r="BK64" s="1"/>
      <c r="BO64" s="1"/>
      <c r="BS64" s="1"/>
    </row>
    <row r="65" spans="6:71" ht="14.05" customHeight="1" x14ac:dyDescent="0.35">
      <c r="F65" s="1"/>
      <c r="I65" s="1"/>
      <c r="J65" s="1"/>
      <c r="K65" s="1"/>
      <c r="L65" s="1"/>
      <c r="M65" s="1"/>
      <c r="N65" s="1"/>
      <c r="O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33"/>
      <c r="AL65" s="28"/>
      <c r="AM65" s="1"/>
      <c r="AN65" s="1"/>
      <c r="AR65" s="1"/>
      <c r="AV65" s="1"/>
      <c r="BA65" s="1"/>
      <c r="BC65" s="1"/>
      <c r="BK65" s="1"/>
      <c r="BO65" s="1"/>
      <c r="BS65" s="1"/>
    </row>
    <row r="66" spans="6:71" ht="14.05" customHeight="1" x14ac:dyDescent="0.35">
      <c r="F66" s="1"/>
      <c r="I66" s="1"/>
      <c r="J66" s="1"/>
      <c r="K66" s="1"/>
      <c r="L66" s="1"/>
      <c r="M66" s="1"/>
      <c r="N66" s="1"/>
      <c r="O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33"/>
      <c r="AL66" s="28"/>
      <c r="AM66" s="1"/>
      <c r="AN66" s="1"/>
      <c r="AR66" s="1"/>
      <c r="AV66" s="1"/>
      <c r="BA66" s="1"/>
      <c r="BC66" s="1"/>
      <c r="BK66" s="1"/>
      <c r="BO66" s="1"/>
      <c r="BS66" s="1"/>
    </row>
    <row r="67" spans="6:71" ht="14.05" customHeight="1" x14ac:dyDescent="0.35">
      <c r="F67" s="1"/>
      <c r="I67" s="1"/>
      <c r="J67" s="1"/>
      <c r="K67" s="1"/>
      <c r="L67" s="1"/>
      <c r="M67" s="1"/>
      <c r="N67" s="1"/>
      <c r="O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33"/>
      <c r="AL67" s="28"/>
      <c r="AM67" s="1"/>
      <c r="AN67" s="1"/>
      <c r="AR67" s="1"/>
      <c r="AV67" s="1"/>
      <c r="BA67" s="1"/>
      <c r="BC67" s="1"/>
      <c r="BK67" s="1"/>
      <c r="BO67" s="1"/>
      <c r="BS67" s="1"/>
    </row>
    <row r="68" spans="6:71" ht="14.05" customHeight="1" x14ac:dyDescent="0.35">
      <c r="F68" s="1"/>
      <c r="I68" s="1"/>
      <c r="J68" s="1"/>
      <c r="K68" s="1"/>
      <c r="L68" s="1"/>
      <c r="M68" s="1"/>
      <c r="N68" s="1"/>
      <c r="O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33"/>
      <c r="AL68" s="28"/>
      <c r="AM68" s="1"/>
      <c r="AN68" s="1"/>
      <c r="AR68" s="1"/>
      <c r="AV68" s="1"/>
      <c r="BA68" s="1"/>
      <c r="BC68" s="1"/>
      <c r="BK68" s="1"/>
      <c r="BO68" s="1"/>
      <c r="BS68" s="1"/>
    </row>
    <row r="69" spans="6:71" ht="14.05" customHeight="1" x14ac:dyDescent="0.35">
      <c r="F69" s="1"/>
      <c r="I69" s="1"/>
      <c r="J69" s="1"/>
      <c r="K69" s="1"/>
      <c r="L69" s="1"/>
      <c r="M69" s="1"/>
      <c r="N69" s="1"/>
      <c r="O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33"/>
      <c r="AL69" s="28"/>
      <c r="AM69" s="1"/>
      <c r="AN69" s="1"/>
      <c r="AR69" s="1"/>
      <c r="AV69" s="1"/>
      <c r="BA69" s="1"/>
      <c r="BC69" s="1"/>
      <c r="BK69" s="1"/>
      <c r="BO69" s="1"/>
      <c r="BS69" s="1"/>
    </row>
    <row r="70" spans="6:71" ht="14.05" customHeight="1" x14ac:dyDescent="0.35">
      <c r="F70" s="1"/>
      <c r="I70" s="1"/>
      <c r="J70" s="1"/>
      <c r="K70" s="1"/>
      <c r="L70" s="1"/>
      <c r="M70" s="1"/>
      <c r="N70" s="1"/>
      <c r="O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33"/>
      <c r="AL70" s="28"/>
      <c r="AM70" s="1"/>
      <c r="AN70" s="1"/>
      <c r="AR70" s="1"/>
      <c r="AV70" s="1"/>
      <c r="BA70" s="1"/>
      <c r="BC70" s="1"/>
      <c r="BK70" s="1"/>
      <c r="BO70" s="1"/>
      <c r="BS70" s="1"/>
    </row>
    <row r="71" spans="6:71" ht="14.05" customHeight="1" x14ac:dyDescent="0.35">
      <c r="F71" s="1"/>
      <c r="I71" s="1"/>
      <c r="J71" s="1"/>
      <c r="K71" s="1"/>
      <c r="L71" s="1"/>
      <c r="M71" s="1"/>
      <c r="N71" s="1"/>
      <c r="O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33"/>
      <c r="AL71" s="28"/>
      <c r="AM71" s="1"/>
      <c r="AN71" s="1"/>
      <c r="AR71" s="1"/>
      <c r="AV71" s="1"/>
      <c r="BA71" s="1"/>
      <c r="BC71" s="1"/>
      <c r="BK71" s="1"/>
      <c r="BO71" s="1"/>
      <c r="BS71" s="1"/>
    </row>
    <row r="72" spans="6:71" ht="14.05" customHeight="1" x14ac:dyDescent="0.35">
      <c r="F72" s="1"/>
      <c r="I72" s="1"/>
      <c r="J72" s="1"/>
      <c r="K72" s="1"/>
      <c r="L72" s="1"/>
      <c r="M72" s="1"/>
      <c r="N72" s="1"/>
      <c r="O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33"/>
      <c r="AL72" s="28"/>
      <c r="AM72" s="1"/>
      <c r="AN72" s="1"/>
      <c r="AR72" s="1"/>
      <c r="AV72" s="1"/>
      <c r="BA72" s="1"/>
      <c r="BC72" s="1"/>
      <c r="BK72" s="1"/>
      <c r="BO72" s="1"/>
      <c r="BS72" s="1"/>
    </row>
    <row r="73" spans="6:71" ht="14.05" customHeight="1" x14ac:dyDescent="0.35">
      <c r="F73" s="1"/>
      <c r="I73" s="1"/>
      <c r="J73" s="1"/>
      <c r="K73" s="1"/>
      <c r="L73" s="1"/>
      <c r="M73" s="1"/>
      <c r="N73" s="1"/>
      <c r="O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33"/>
      <c r="AL73" s="28"/>
      <c r="AM73" s="1"/>
      <c r="AN73" s="1"/>
      <c r="AR73" s="1"/>
      <c r="AV73" s="1"/>
      <c r="BA73" s="1"/>
      <c r="BC73" s="1"/>
      <c r="BK73" s="1"/>
      <c r="BO73" s="1"/>
      <c r="BS73" s="1"/>
    </row>
    <row r="74" spans="6:71" ht="14.05" customHeight="1" x14ac:dyDescent="0.35">
      <c r="F74" s="1"/>
      <c r="I74" s="1"/>
      <c r="J74" s="1"/>
      <c r="K74" s="1"/>
      <c r="L74" s="1"/>
      <c r="M74" s="1"/>
      <c r="N74" s="1"/>
      <c r="O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33"/>
      <c r="AL74" s="28"/>
      <c r="AM74" s="1"/>
      <c r="AN74" s="1"/>
      <c r="AR74" s="1"/>
      <c r="AV74" s="1"/>
      <c r="BA74" s="1"/>
      <c r="BC74" s="1"/>
      <c r="BK74" s="1"/>
      <c r="BO74" s="1"/>
      <c r="BS74" s="1"/>
    </row>
    <row r="75" spans="6:71" ht="14.05" customHeight="1" x14ac:dyDescent="0.35">
      <c r="F75" s="1"/>
      <c r="I75" s="1"/>
      <c r="J75" s="1"/>
      <c r="K75" s="1"/>
      <c r="L75" s="1"/>
      <c r="M75" s="1"/>
      <c r="N75" s="1"/>
      <c r="O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33"/>
      <c r="AL75" s="28"/>
      <c r="AM75" s="1"/>
      <c r="AN75" s="1"/>
      <c r="AR75" s="1"/>
      <c r="AV75" s="1"/>
      <c r="BA75" s="1"/>
      <c r="BC75" s="1"/>
      <c r="BK75" s="1"/>
      <c r="BO75" s="1"/>
      <c r="BS75" s="1"/>
    </row>
    <row r="76" spans="6:71" ht="14.05" customHeight="1" x14ac:dyDescent="0.35">
      <c r="F76" s="1"/>
      <c r="I76" s="1"/>
      <c r="J76" s="1"/>
      <c r="K76" s="1"/>
      <c r="L76" s="1"/>
      <c r="M76" s="1"/>
      <c r="N76" s="1"/>
      <c r="O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33"/>
      <c r="AL76" s="28"/>
      <c r="AM76" s="1"/>
      <c r="AN76" s="1"/>
      <c r="AR76" s="1"/>
      <c r="AV76" s="1"/>
      <c r="BA76" s="1"/>
      <c r="BC76" s="1"/>
      <c r="BK76" s="1"/>
      <c r="BO76" s="1"/>
      <c r="BS76" s="1"/>
    </row>
    <row r="77" spans="6:71" ht="14.05" customHeight="1" x14ac:dyDescent="0.35">
      <c r="F77" s="1"/>
      <c r="I77" s="1"/>
      <c r="J77" s="1"/>
      <c r="K77" s="1"/>
      <c r="L77" s="1"/>
      <c r="M77" s="1"/>
      <c r="N77" s="1"/>
      <c r="O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33"/>
      <c r="AL77" s="28"/>
      <c r="AM77" s="1"/>
      <c r="AN77" s="1"/>
      <c r="AR77" s="1"/>
      <c r="AV77" s="1"/>
      <c r="BA77" s="1"/>
      <c r="BC77" s="1"/>
      <c r="BK77" s="1"/>
      <c r="BO77" s="1"/>
      <c r="BS77" s="1"/>
    </row>
    <row r="78" spans="6:71" ht="14.05" customHeight="1" x14ac:dyDescent="0.35">
      <c r="F78" s="1"/>
      <c r="I78" s="1"/>
      <c r="J78" s="1"/>
      <c r="K78" s="1"/>
      <c r="L78" s="1"/>
      <c r="M78" s="1"/>
      <c r="N78" s="1"/>
      <c r="O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33"/>
      <c r="AL78" s="28"/>
      <c r="AM78" s="1"/>
      <c r="AN78" s="1"/>
      <c r="AR78" s="1"/>
      <c r="AV78" s="1"/>
      <c r="BA78" s="1"/>
      <c r="BC78" s="1"/>
      <c r="BK78" s="1"/>
      <c r="BO78" s="1"/>
      <c r="BS78" s="1"/>
    </row>
  </sheetData>
  <mergeCells count="12">
    <mergeCell ref="G3:N3"/>
    <mergeCell ref="AI3:AJ3"/>
    <mergeCell ref="AF3:AG3"/>
    <mergeCell ref="Z3:AD3"/>
    <mergeCell ref="P3:X3"/>
    <mergeCell ref="BP3:BR3"/>
    <mergeCell ref="AO3:AQ3"/>
    <mergeCell ref="AS3:AU3"/>
    <mergeCell ref="AW3:AY3"/>
    <mergeCell ref="BH3:BJ3"/>
    <mergeCell ref="BD3:BF3"/>
    <mergeCell ref="BL3:BN3"/>
  </mergeCells>
  <phoneticPr fontId="8" type="noConversion"/>
  <pageMargins left="0.7" right="0.7" top="0.75" bottom="0.75" header="0.3" footer="0.3"/>
  <pageSetup paperSize="9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ACDA8-6A54-4085-802C-51D35F946F46}">
  <dimension ref="A1:I144"/>
  <sheetViews>
    <sheetView topLeftCell="A100" workbookViewId="0">
      <selection activeCell="D138" sqref="D138"/>
    </sheetView>
  </sheetViews>
  <sheetFormatPr defaultRowHeight="15.9" x14ac:dyDescent="0.45"/>
  <cols>
    <col min="1" max="1" width="9.0703125" bestFit="1" customWidth="1"/>
    <col min="2" max="2" width="8.5" bestFit="1" customWidth="1"/>
    <col min="3" max="3" width="9.2109375" bestFit="1" customWidth="1"/>
    <col min="4" max="4" width="10" bestFit="1" customWidth="1"/>
    <col min="5" max="5" width="15.640625" bestFit="1" customWidth="1"/>
    <col min="6" max="6" width="20.35546875" bestFit="1" customWidth="1"/>
    <col min="7" max="7" width="21.28515625" bestFit="1" customWidth="1"/>
  </cols>
  <sheetData>
    <row r="1" spans="1:9" x14ac:dyDescent="0.45">
      <c r="A1" s="65" t="s">
        <v>45</v>
      </c>
      <c r="B1" s="65" t="s">
        <v>47</v>
      </c>
      <c r="C1" s="65" t="s">
        <v>46</v>
      </c>
      <c r="D1" s="65" t="s">
        <v>65</v>
      </c>
      <c r="E1" s="65" t="s">
        <v>48</v>
      </c>
      <c r="F1" s="65" t="s">
        <v>49</v>
      </c>
      <c r="G1" s="65" t="s">
        <v>66</v>
      </c>
    </row>
    <row r="2" spans="1:9" x14ac:dyDescent="0.45">
      <c r="A2" s="62">
        <v>43856</v>
      </c>
      <c r="B2" s="63">
        <v>21</v>
      </c>
      <c r="C2" s="63">
        <v>0</v>
      </c>
      <c r="D2" s="63">
        <v>0</v>
      </c>
      <c r="E2" s="64">
        <f>SUM(B$2:B2)-IF(ISERROR(SUM(#REF!)),0,SUM(#REF!))</f>
        <v>21</v>
      </c>
      <c r="F2" s="64">
        <f>SUM(C$2:C2)-IF(ISERROR(SUM(#REF!)),0,SUM(#REF!))</f>
        <v>0</v>
      </c>
      <c r="G2" s="64">
        <f>SUM(D$2:D2)-IF(ISERROR(SUM(#REF!)),0,SUM(#REF!))</f>
        <v>0</v>
      </c>
      <c r="I2" s="66" t="s">
        <v>71</v>
      </c>
    </row>
    <row r="3" spans="1:9" x14ac:dyDescent="0.45">
      <c r="A3" s="62">
        <v>43857</v>
      </c>
      <c r="B3" s="63">
        <v>21</v>
      </c>
      <c r="C3" s="63">
        <v>0</v>
      </c>
      <c r="D3" s="63">
        <v>0</v>
      </c>
      <c r="E3" s="64">
        <f>SUM(B$2:B3)-IF(ISERROR(SUM(#REF!)),0,SUM(#REF!))</f>
        <v>42</v>
      </c>
      <c r="F3" s="64">
        <f>SUM(C$2:C3)-IF(ISERROR(SUM(#REF!)),0,SUM(#REF!))</f>
        <v>0</v>
      </c>
      <c r="G3" s="64">
        <f>SUM(D$2:D3)-IF(ISERROR(SUM(#REF!)),0,SUM(#REF!))</f>
        <v>0</v>
      </c>
      <c r="I3" s="66" t="s">
        <v>70</v>
      </c>
    </row>
    <row r="4" spans="1:9" x14ac:dyDescent="0.45">
      <c r="A4" s="62">
        <v>43858</v>
      </c>
      <c r="B4" s="63">
        <v>24</v>
      </c>
      <c r="C4" s="63">
        <v>0</v>
      </c>
      <c r="D4" s="63">
        <v>0</v>
      </c>
      <c r="E4" s="64">
        <f>SUM(B$2:B4)-IF(ISERROR(SUM(#REF!)),0,SUM(#REF!))</f>
        <v>66</v>
      </c>
      <c r="F4" s="64">
        <f>SUM(C$2:C4)-IF(ISERROR(SUM(#REF!)),0,SUM(#REF!))</f>
        <v>0</v>
      </c>
      <c r="G4" s="64">
        <f>SUM(D$2:D4)-IF(ISERROR(SUM(#REF!)),0,SUM(#REF!))</f>
        <v>0</v>
      </c>
    </row>
    <row r="5" spans="1:9" x14ac:dyDescent="0.45">
      <c r="A5" s="62">
        <v>43859</v>
      </c>
      <c r="B5" s="63">
        <v>33</v>
      </c>
      <c r="C5" s="63">
        <v>0</v>
      </c>
      <c r="D5" s="63">
        <v>0</v>
      </c>
      <c r="E5" s="64">
        <f>SUM(B$2:B5)-IF(ISERROR(SUM(#REF!)),0,SUM(#REF!))</f>
        <v>99</v>
      </c>
      <c r="F5" s="64">
        <f>SUM(C$2:C5)-IF(ISERROR(SUM(#REF!)),0,SUM(#REF!))</f>
        <v>0</v>
      </c>
      <c r="G5" s="64">
        <f>SUM(D$2:D5)-IF(ISERROR(SUM(#REF!)),0,SUM(#REF!))</f>
        <v>0</v>
      </c>
    </row>
    <row r="6" spans="1:9" x14ac:dyDescent="0.45">
      <c r="A6" s="62">
        <v>43860</v>
      </c>
      <c r="B6" s="63">
        <v>31</v>
      </c>
      <c r="C6" s="63">
        <v>0</v>
      </c>
      <c r="D6" s="63">
        <v>0</v>
      </c>
      <c r="E6" s="64">
        <f>SUM(B$2:B6)-IF(ISERROR(SUM(B1:B$2)),0,SUM(B1:B$2))</f>
        <v>109</v>
      </c>
      <c r="F6" s="64">
        <f>SUM(C$2:C6)-IF(ISERROR(SUM(C1:C$2)),0,SUM(C1:C$2))</f>
        <v>0</v>
      </c>
      <c r="G6" s="64">
        <f>SUM(D$2:D6)-IF(ISERROR(SUM(D1:D$2)),0,SUM(D1:D$2))</f>
        <v>0</v>
      </c>
    </row>
    <row r="7" spans="1:9" x14ac:dyDescent="0.45">
      <c r="A7" s="62">
        <v>43861</v>
      </c>
      <c r="B7" s="63">
        <v>16</v>
      </c>
      <c r="C7" s="63">
        <v>2</v>
      </c>
      <c r="D7" s="63">
        <v>0</v>
      </c>
      <c r="E7" s="64">
        <f>SUM(B$2:B7)-IF(ISERROR(SUM(B2:B$2)),0,SUM(B2:B$2))</f>
        <v>125</v>
      </c>
      <c r="F7" s="64">
        <f>SUM(C$2:C7)-IF(ISERROR(SUM(C2:C$2)),0,SUM(C2:C$2))</f>
        <v>2</v>
      </c>
      <c r="G7" s="64">
        <f>SUM(D$2:D7)-IF(ISERROR(SUM(D2:D$2)),0,SUM(D2:D$2))</f>
        <v>0</v>
      </c>
    </row>
    <row r="8" spans="1:9" x14ac:dyDescent="0.45">
      <c r="A8" s="62">
        <v>43862</v>
      </c>
      <c r="B8" s="63">
        <v>26</v>
      </c>
      <c r="C8" s="63">
        <v>0</v>
      </c>
      <c r="D8" s="63">
        <v>0</v>
      </c>
      <c r="E8" s="64">
        <f>SUM(B$2:B8)-IF(ISERROR(SUM(B$2:B3)),0,SUM(B$2:B3))</f>
        <v>130</v>
      </c>
      <c r="F8" s="64">
        <f>SUM(C$2:C8)-IF(ISERROR(SUM(C$2:C3)),0,SUM(C$2:C3))</f>
        <v>2</v>
      </c>
      <c r="G8" s="64">
        <f>SUM(D$2:D8)-IF(ISERROR(SUM(D$2:D3)),0,SUM(D$2:D3))</f>
        <v>0</v>
      </c>
    </row>
    <row r="9" spans="1:9" x14ac:dyDescent="0.45">
      <c r="A9" s="62">
        <v>43863</v>
      </c>
      <c r="B9" s="63">
        <v>63</v>
      </c>
      <c r="C9" s="63">
        <v>0</v>
      </c>
      <c r="D9" s="63">
        <v>0</v>
      </c>
      <c r="E9" s="64">
        <f>SUM(B$2:B9)-IF(ISERROR(SUM(B$2:B4)),0,SUM(B$2:B4))</f>
        <v>169</v>
      </c>
      <c r="F9" s="64">
        <f>SUM(C$2:C9)-IF(ISERROR(SUM(C$2:C4)),0,SUM(C$2:C4))</f>
        <v>2</v>
      </c>
      <c r="G9" s="64">
        <f>SUM(D$2:D9)-IF(ISERROR(SUM(D$2:D4)),0,SUM(D$2:D4))</f>
        <v>0</v>
      </c>
    </row>
    <row r="10" spans="1:9" x14ac:dyDescent="0.45">
      <c r="A10" s="62">
        <v>43864</v>
      </c>
      <c r="B10" s="63">
        <v>60</v>
      </c>
      <c r="C10" s="63">
        <v>0</v>
      </c>
      <c r="D10" s="63">
        <v>0</v>
      </c>
      <c r="E10" s="64">
        <f>SUM(B$2:B10)-IF(ISERROR(SUM(B$2:B5)),0,SUM(B$2:B5))</f>
        <v>196</v>
      </c>
      <c r="F10" s="64">
        <f>SUM(C$2:C10)-IF(ISERROR(SUM(C$2:C5)),0,SUM(C$2:C5))</f>
        <v>2</v>
      </c>
      <c r="G10" s="64">
        <f>SUM(D$2:D10)-IF(ISERROR(SUM(D$2:D5)),0,SUM(D$2:D5))</f>
        <v>0</v>
      </c>
    </row>
    <row r="11" spans="1:9" x14ac:dyDescent="0.45">
      <c r="A11" s="62">
        <v>43865</v>
      </c>
      <c r="B11" s="63">
        <v>90</v>
      </c>
      <c r="C11" s="63">
        <v>0</v>
      </c>
      <c r="D11" s="63">
        <v>0</v>
      </c>
      <c r="E11" s="64">
        <f>SUM(B$2:B11)-IF(ISERROR(SUM(B$2:B6)),0,SUM(B$2:B6))</f>
        <v>255</v>
      </c>
      <c r="F11" s="64">
        <f>SUM(C$2:C11)-IF(ISERROR(SUM(C$2:C6)),0,SUM(C$2:C6))</f>
        <v>2</v>
      </c>
      <c r="G11" s="64">
        <f>SUM(D$2:D11)-IF(ISERROR(SUM(D$2:D6)),0,SUM(D$2:D6))</f>
        <v>0</v>
      </c>
    </row>
    <row r="12" spans="1:9" x14ac:dyDescent="0.45">
      <c r="A12" s="62">
        <v>43866</v>
      </c>
      <c r="B12" s="63">
        <v>52</v>
      </c>
      <c r="C12" s="63">
        <v>0</v>
      </c>
      <c r="D12" s="63">
        <v>0</v>
      </c>
      <c r="E12" s="64">
        <f>SUM(B$2:B12)-IF(ISERROR(SUM(B$2:B7)),0,SUM(B$2:B7))</f>
        <v>291</v>
      </c>
      <c r="F12" s="64">
        <f>SUM(C$2:C12)-IF(ISERROR(SUM(C$2:C7)),0,SUM(C$2:C7))</f>
        <v>0</v>
      </c>
      <c r="G12" s="64">
        <f>SUM(D$2:D12)-IF(ISERROR(SUM(D$2:D7)),0,SUM(D$2:D7))</f>
        <v>0</v>
      </c>
    </row>
    <row r="13" spans="1:9" x14ac:dyDescent="0.45">
      <c r="A13" s="62">
        <v>43867</v>
      </c>
      <c r="B13" s="63">
        <v>98</v>
      </c>
      <c r="C13" s="63">
        <v>0</v>
      </c>
      <c r="D13" s="63">
        <v>0</v>
      </c>
      <c r="E13" s="64">
        <f>SUM(B$2:B13)-IF(ISERROR(SUM(B$2:B8)),0,SUM(B$2:B8))</f>
        <v>363</v>
      </c>
      <c r="F13" s="64">
        <f>SUM(C$2:C13)-IF(ISERROR(SUM(C$2:C8)),0,SUM(C$2:C8))</f>
        <v>0</v>
      </c>
      <c r="G13" s="64">
        <f>SUM(D$2:D13)-IF(ISERROR(SUM(D$2:D8)),0,SUM(D$2:D8))</f>
        <v>0</v>
      </c>
    </row>
    <row r="14" spans="1:9" x14ac:dyDescent="0.45">
      <c r="A14" s="62">
        <v>43868</v>
      </c>
      <c r="B14" s="63">
        <v>54</v>
      </c>
      <c r="C14" s="63">
        <v>1</v>
      </c>
      <c r="D14" s="63">
        <v>0</v>
      </c>
      <c r="E14" s="64">
        <f>SUM(B$2:B14)-IF(ISERROR(SUM(B$2:B9)),0,SUM(B$2:B9))</f>
        <v>354</v>
      </c>
      <c r="F14" s="64">
        <f>SUM(C$2:C14)-IF(ISERROR(SUM(C$2:C9)),0,SUM(C$2:C9))</f>
        <v>1</v>
      </c>
      <c r="G14" s="64">
        <f>SUM(D$2:D14)-IF(ISERROR(SUM(D$2:D9)),0,SUM(D$2:D9))</f>
        <v>0</v>
      </c>
    </row>
    <row r="15" spans="1:9" x14ac:dyDescent="0.45">
      <c r="A15" s="62">
        <v>43869</v>
      </c>
      <c r="B15" s="63">
        <v>66</v>
      </c>
      <c r="C15" s="63">
        <v>0</v>
      </c>
      <c r="D15" s="63">
        <v>0</v>
      </c>
      <c r="E15" s="64">
        <f>SUM(B$2:B15)-IF(ISERROR(SUM(B$2:B10)),0,SUM(B$2:B10))</f>
        <v>360</v>
      </c>
      <c r="F15" s="64">
        <f>SUM(C$2:C15)-IF(ISERROR(SUM(C$2:C10)),0,SUM(C$2:C10))</f>
        <v>1</v>
      </c>
      <c r="G15" s="64">
        <f>SUM(D$2:D15)-IF(ISERROR(SUM(D$2:D10)),0,SUM(D$2:D10))</f>
        <v>0</v>
      </c>
    </row>
    <row r="16" spans="1:9" x14ac:dyDescent="0.45">
      <c r="A16" s="62">
        <v>43870</v>
      </c>
      <c r="B16" s="63">
        <v>109</v>
      </c>
      <c r="C16" s="63">
        <v>1</v>
      </c>
      <c r="D16" s="63">
        <v>0</v>
      </c>
      <c r="E16" s="64">
        <f>SUM(B$2:B16)-IF(ISERROR(SUM(B$2:B11)),0,SUM(B$2:B11))</f>
        <v>379</v>
      </c>
      <c r="F16" s="64">
        <f>SUM(C$2:C16)-IF(ISERROR(SUM(C$2:C11)),0,SUM(C$2:C11))</f>
        <v>2</v>
      </c>
      <c r="G16" s="64">
        <f>SUM(D$2:D16)-IF(ISERROR(SUM(D$2:D11)),0,SUM(D$2:D11))</f>
        <v>0</v>
      </c>
    </row>
    <row r="17" spans="1:7" x14ac:dyDescent="0.45">
      <c r="A17" s="62">
        <v>43871</v>
      </c>
      <c r="B17" s="63">
        <v>319</v>
      </c>
      <c r="C17" s="63">
        <v>0</v>
      </c>
      <c r="D17" s="63">
        <v>0</v>
      </c>
      <c r="E17" s="64">
        <f>SUM(B$2:B17)-IF(ISERROR(SUM(B$2:B12)),0,SUM(B$2:B12))</f>
        <v>646</v>
      </c>
      <c r="F17" s="64">
        <f>SUM(C$2:C17)-IF(ISERROR(SUM(C$2:C12)),0,SUM(C$2:C12))</f>
        <v>2</v>
      </c>
      <c r="G17" s="64">
        <f>SUM(D$2:D17)-IF(ISERROR(SUM(D$2:D12)),0,SUM(D$2:D12))</f>
        <v>0</v>
      </c>
    </row>
    <row r="18" spans="1:7" x14ac:dyDescent="0.45">
      <c r="A18" s="62">
        <v>43872</v>
      </c>
      <c r="B18" s="63">
        <v>244</v>
      </c>
      <c r="C18" s="63">
        <v>4</v>
      </c>
      <c r="D18" s="63">
        <v>0</v>
      </c>
      <c r="E18" s="64">
        <f>SUM(B$2:B18)-IF(ISERROR(SUM(B$2:B13)),0,SUM(B$2:B13))</f>
        <v>792</v>
      </c>
      <c r="F18" s="64">
        <f>SUM(C$2:C18)-IF(ISERROR(SUM(C$2:C13)),0,SUM(C$2:C13))</f>
        <v>6</v>
      </c>
      <c r="G18" s="64">
        <f>SUM(D$2:D18)-IF(ISERROR(SUM(D$2:D13)),0,SUM(D$2:D13))</f>
        <v>0</v>
      </c>
    </row>
    <row r="19" spans="1:7" x14ac:dyDescent="0.45">
      <c r="A19" s="62">
        <v>43873</v>
      </c>
      <c r="B19" s="63">
        <v>400</v>
      </c>
      <c r="C19" s="63">
        <v>0</v>
      </c>
      <c r="D19" s="63">
        <v>0</v>
      </c>
      <c r="E19" s="64">
        <f>SUM(B$2:B19)-IF(ISERROR(SUM(B$2:B14)),0,SUM(B$2:B14))</f>
        <v>1138</v>
      </c>
      <c r="F19" s="64">
        <f>SUM(C$2:C19)-IF(ISERROR(SUM(C$2:C14)),0,SUM(C$2:C14))</f>
        <v>5</v>
      </c>
      <c r="G19" s="64">
        <f>SUM(D$2:D19)-IF(ISERROR(SUM(D$2:D14)),0,SUM(D$2:D14))</f>
        <v>0</v>
      </c>
    </row>
    <row r="20" spans="1:7" x14ac:dyDescent="0.45">
      <c r="A20" s="62">
        <v>43874</v>
      </c>
      <c r="B20" s="63">
        <v>763</v>
      </c>
      <c r="C20" s="63">
        <v>1</v>
      </c>
      <c r="D20" s="63">
        <v>0</v>
      </c>
      <c r="E20" s="64">
        <f>SUM(B$2:B20)-IF(ISERROR(SUM(B$2:B15)),0,SUM(B$2:B15))</f>
        <v>1835</v>
      </c>
      <c r="F20" s="64">
        <f>SUM(C$2:C20)-IF(ISERROR(SUM(C$2:C15)),0,SUM(C$2:C15))</f>
        <v>6</v>
      </c>
      <c r="G20" s="64">
        <f>SUM(D$2:D20)-IF(ISERROR(SUM(D$2:D15)),0,SUM(D$2:D15))</f>
        <v>0</v>
      </c>
    </row>
    <row r="21" spans="1:7" x14ac:dyDescent="0.45">
      <c r="A21" s="62">
        <v>43875</v>
      </c>
      <c r="B21" s="63">
        <v>443</v>
      </c>
      <c r="C21" s="63">
        <v>0</v>
      </c>
      <c r="D21" s="63">
        <v>0</v>
      </c>
      <c r="E21" s="64">
        <f>SUM(B$2:B21)-IF(ISERROR(SUM(B$2:B16)),0,SUM(B$2:B16))</f>
        <v>2169</v>
      </c>
      <c r="F21" s="64">
        <f>SUM(C$2:C21)-IF(ISERROR(SUM(C$2:C16)),0,SUM(C$2:C16))</f>
        <v>5</v>
      </c>
      <c r="G21" s="64">
        <f>SUM(D$2:D21)-IF(ISERROR(SUM(D$2:D16)),0,SUM(D$2:D16))</f>
        <v>0</v>
      </c>
    </row>
    <row r="22" spans="1:7" x14ac:dyDescent="0.45">
      <c r="A22" s="62">
        <v>43876</v>
      </c>
      <c r="B22" s="63">
        <v>28</v>
      </c>
      <c r="C22" s="63">
        <v>0</v>
      </c>
      <c r="D22" s="63">
        <v>0</v>
      </c>
      <c r="E22" s="64">
        <f>SUM(B$2:B22)-IF(ISERROR(SUM(B$2:B17)),0,SUM(B$2:B17))</f>
        <v>1878</v>
      </c>
      <c r="F22" s="64">
        <f>SUM(C$2:C22)-IF(ISERROR(SUM(C$2:C17)),0,SUM(C$2:C17))</f>
        <v>5</v>
      </c>
      <c r="G22" s="64">
        <f>SUM(D$2:D22)-IF(ISERROR(SUM(D$2:D17)),0,SUM(D$2:D17))</f>
        <v>0</v>
      </c>
    </row>
    <row r="23" spans="1:7" x14ac:dyDescent="0.45">
      <c r="A23" s="62">
        <v>43877</v>
      </c>
      <c r="B23" s="63">
        <v>117</v>
      </c>
      <c r="C23" s="63">
        <v>0</v>
      </c>
      <c r="D23" s="63">
        <v>0</v>
      </c>
      <c r="E23" s="64">
        <f>SUM(B$2:B23)-IF(ISERROR(SUM(B$2:B18)),0,SUM(B$2:B18))</f>
        <v>1751</v>
      </c>
      <c r="F23" s="64">
        <f>SUM(C$2:C23)-IF(ISERROR(SUM(C$2:C18)),0,SUM(C$2:C18))</f>
        <v>1</v>
      </c>
      <c r="G23" s="64">
        <f>SUM(D$2:D23)-IF(ISERROR(SUM(D$2:D18)),0,SUM(D$2:D18))</f>
        <v>0</v>
      </c>
    </row>
    <row r="24" spans="1:7" x14ac:dyDescent="0.45">
      <c r="A24" s="62">
        <v>43878</v>
      </c>
      <c r="B24" s="63">
        <v>1392</v>
      </c>
      <c r="C24" s="63">
        <v>0</v>
      </c>
      <c r="D24" s="63">
        <v>0</v>
      </c>
      <c r="E24" s="64">
        <f>SUM(B$2:B24)-IF(ISERROR(SUM(B$2:B19)),0,SUM(B$2:B19))</f>
        <v>2743</v>
      </c>
      <c r="F24" s="64">
        <f>SUM(C$2:C24)-IF(ISERROR(SUM(C$2:C19)),0,SUM(C$2:C19))</f>
        <v>1</v>
      </c>
      <c r="G24" s="64">
        <f>SUM(D$2:D24)-IF(ISERROR(SUM(D$2:D19)),0,SUM(D$2:D19))</f>
        <v>0</v>
      </c>
    </row>
    <row r="25" spans="1:7" x14ac:dyDescent="0.45">
      <c r="A25" s="62">
        <v>43879</v>
      </c>
      <c r="B25" s="63">
        <v>415</v>
      </c>
      <c r="C25" s="63">
        <v>0</v>
      </c>
      <c r="D25" s="63">
        <v>0</v>
      </c>
      <c r="E25" s="64">
        <f>SUM(B$2:B25)-IF(ISERROR(SUM(B$2:B20)),0,SUM(B$2:B20))</f>
        <v>2395</v>
      </c>
      <c r="F25" s="64">
        <f>SUM(C$2:C25)-IF(ISERROR(SUM(C$2:C20)),0,SUM(C$2:C20))</f>
        <v>0</v>
      </c>
      <c r="G25" s="64">
        <f>SUM(D$2:D25)-IF(ISERROR(SUM(D$2:D20)),0,SUM(D$2:D20))</f>
        <v>0</v>
      </c>
    </row>
    <row r="26" spans="1:7" x14ac:dyDescent="0.45">
      <c r="A26" s="62">
        <v>43880</v>
      </c>
      <c r="B26" s="63">
        <v>291</v>
      </c>
      <c r="C26" s="63">
        <v>0</v>
      </c>
      <c r="D26" s="63">
        <v>0</v>
      </c>
      <c r="E26" s="64">
        <f>SUM(B$2:B26)-IF(ISERROR(SUM(B$2:B21)),0,SUM(B$2:B21))</f>
        <v>2243</v>
      </c>
      <c r="F26" s="64">
        <f>SUM(C$2:C26)-IF(ISERROR(SUM(C$2:C21)),0,SUM(C$2:C21))</f>
        <v>0</v>
      </c>
      <c r="G26" s="64">
        <f>SUM(D$2:D26)-IF(ISERROR(SUM(D$2:D21)),0,SUM(D$2:D21))</f>
        <v>0</v>
      </c>
    </row>
    <row r="27" spans="1:7" x14ac:dyDescent="0.45">
      <c r="A27" s="62">
        <v>43881</v>
      </c>
      <c r="B27" s="63">
        <v>342</v>
      </c>
      <c r="C27" s="63">
        <v>0</v>
      </c>
      <c r="D27" s="63">
        <v>0</v>
      </c>
      <c r="E27" s="64">
        <f>SUM(B$2:B27)-IF(ISERROR(SUM(B$2:B22)),0,SUM(B$2:B22))</f>
        <v>2557</v>
      </c>
      <c r="F27" s="64">
        <f>SUM(C$2:C27)-IF(ISERROR(SUM(C$2:C22)),0,SUM(C$2:C22))</f>
        <v>0</v>
      </c>
      <c r="G27" s="64">
        <f>SUM(D$2:D27)-IF(ISERROR(SUM(D$2:D22)),0,SUM(D$2:D22))</f>
        <v>0</v>
      </c>
    </row>
    <row r="28" spans="1:7" x14ac:dyDescent="0.45">
      <c r="A28" s="62">
        <v>43882</v>
      </c>
      <c r="B28" s="63">
        <v>336</v>
      </c>
      <c r="C28" s="63">
        <v>0</v>
      </c>
      <c r="D28" s="63">
        <v>0</v>
      </c>
      <c r="E28" s="64">
        <f>SUM(B$2:B28)-IF(ISERROR(SUM(B$2:B23)),0,SUM(B$2:B23))</f>
        <v>2776</v>
      </c>
      <c r="F28" s="64">
        <f>SUM(C$2:C28)-IF(ISERROR(SUM(C$2:C23)),0,SUM(C$2:C23))</f>
        <v>0</v>
      </c>
      <c r="G28" s="64">
        <f>SUM(D$2:D28)-IF(ISERROR(SUM(D$2:D23)),0,SUM(D$2:D23))</f>
        <v>0</v>
      </c>
    </row>
    <row r="29" spans="1:7" x14ac:dyDescent="0.45">
      <c r="A29" s="62">
        <v>43883</v>
      </c>
      <c r="B29" s="63">
        <v>267</v>
      </c>
      <c r="C29" s="63">
        <v>0</v>
      </c>
      <c r="D29" s="63">
        <v>0</v>
      </c>
      <c r="E29" s="64">
        <f>SUM(B$2:B29)-IF(ISERROR(SUM(B$2:B24)),0,SUM(B$2:B24))</f>
        <v>1651</v>
      </c>
      <c r="F29" s="64">
        <f>SUM(C$2:C29)-IF(ISERROR(SUM(C$2:C24)),0,SUM(C$2:C24))</f>
        <v>0</v>
      </c>
      <c r="G29" s="64">
        <f>SUM(D$2:D29)-IF(ISERROR(SUM(D$2:D24)),0,SUM(D$2:D24))</f>
        <v>0</v>
      </c>
    </row>
    <row r="30" spans="1:7" x14ac:dyDescent="0.45">
      <c r="A30" s="62">
        <v>43884</v>
      </c>
      <c r="B30" s="63">
        <v>172</v>
      </c>
      <c r="C30" s="63">
        <v>0</v>
      </c>
      <c r="D30" s="63">
        <v>0</v>
      </c>
      <c r="E30" s="64">
        <f>SUM(B$2:B30)-IF(ISERROR(SUM(B$2:B25)),0,SUM(B$2:B25))</f>
        <v>1408</v>
      </c>
      <c r="F30" s="64">
        <f>SUM(C$2:C30)-IF(ISERROR(SUM(C$2:C25)),0,SUM(C$2:C25))</f>
        <v>0</v>
      </c>
      <c r="G30" s="64">
        <f>SUM(D$2:D30)-IF(ISERROR(SUM(D$2:D25)),0,SUM(D$2:D25))</f>
        <v>0</v>
      </c>
    </row>
    <row r="31" spans="1:7" x14ac:dyDescent="0.45">
      <c r="A31" s="62">
        <v>43885</v>
      </c>
      <c r="B31" s="63">
        <v>212</v>
      </c>
      <c r="C31" s="63">
        <v>4</v>
      </c>
      <c r="D31" s="63">
        <v>0</v>
      </c>
      <c r="E31" s="64">
        <f>SUM(B$2:B31)-IF(ISERROR(SUM(B$2:B26)),0,SUM(B$2:B26))</f>
        <v>1329</v>
      </c>
      <c r="F31" s="64">
        <f>SUM(C$2:C31)-IF(ISERROR(SUM(C$2:C26)),0,SUM(C$2:C26))</f>
        <v>4</v>
      </c>
      <c r="G31" s="64">
        <f>SUM(D$2:D31)-IF(ISERROR(SUM(D$2:D26)),0,SUM(D$2:D26))</f>
        <v>0</v>
      </c>
    </row>
    <row r="32" spans="1:7" x14ac:dyDescent="0.45">
      <c r="A32" s="62">
        <v>43886</v>
      </c>
      <c r="B32" s="63">
        <v>259</v>
      </c>
      <c r="C32" s="63">
        <v>0</v>
      </c>
      <c r="D32" s="63">
        <v>0</v>
      </c>
      <c r="E32" s="64">
        <f>SUM(B$2:B32)-IF(ISERROR(SUM(B$2:B27)),0,SUM(B$2:B27))</f>
        <v>1246</v>
      </c>
      <c r="F32" s="64">
        <f>SUM(C$2:C32)-IF(ISERROR(SUM(C$2:C27)),0,SUM(C$2:C27))</f>
        <v>4</v>
      </c>
      <c r="G32" s="64">
        <f>SUM(D$2:D32)-IF(ISERROR(SUM(D$2:D27)),0,SUM(D$2:D27))</f>
        <v>0</v>
      </c>
    </row>
    <row r="33" spans="1:7" x14ac:dyDescent="0.45">
      <c r="A33" s="62">
        <v>43887</v>
      </c>
      <c r="B33" s="63">
        <v>337</v>
      </c>
      <c r="C33" s="63">
        <v>0</v>
      </c>
      <c r="D33" s="63">
        <v>0</v>
      </c>
      <c r="E33" s="64">
        <f>SUM(B$2:B33)-IF(ISERROR(SUM(B$2:B28)),0,SUM(B$2:B28))</f>
        <v>1247</v>
      </c>
      <c r="F33" s="64">
        <f>SUM(C$2:C33)-IF(ISERROR(SUM(C$2:C28)),0,SUM(C$2:C28))</f>
        <v>4</v>
      </c>
      <c r="G33" s="64">
        <f>SUM(D$2:D33)-IF(ISERROR(SUM(D$2:D28)),0,SUM(D$2:D28))</f>
        <v>0</v>
      </c>
    </row>
    <row r="34" spans="1:7" x14ac:dyDescent="0.45">
      <c r="A34" s="62">
        <v>43888</v>
      </c>
      <c r="B34" s="63">
        <v>558</v>
      </c>
      <c r="C34" s="63">
        <v>0</v>
      </c>
      <c r="D34" s="63">
        <v>0</v>
      </c>
      <c r="E34" s="64">
        <f>SUM(B$2:B34)-IF(ISERROR(SUM(B$2:B29)),0,SUM(B$2:B29))</f>
        <v>1538</v>
      </c>
      <c r="F34" s="64">
        <f>SUM(C$2:C34)-IF(ISERROR(SUM(C$2:C29)),0,SUM(C$2:C29))</f>
        <v>4</v>
      </c>
      <c r="G34" s="64">
        <f>SUM(D$2:D34)-IF(ISERROR(SUM(D$2:D29)),0,SUM(D$2:D29))</f>
        <v>0</v>
      </c>
    </row>
    <row r="35" spans="1:7" x14ac:dyDescent="0.45">
      <c r="A35" s="62">
        <v>43889</v>
      </c>
      <c r="B35" s="63">
        <v>1296</v>
      </c>
      <c r="C35" s="63">
        <v>3</v>
      </c>
      <c r="D35" s="63">
        <v>0</v>
      </c>
      <c r="E35" s="64">
        <f>SUM(B$2:B35)-IF(ISERROR(SUM(B$2:B30)),0,SUM(B$2:B30))</f>
        <v>2662</v>
      </c>
      <c r="F35" s="64">
        <f>SUM(C$2:C35)-IF(ISERROR(SUM(C$2:C30)),0,SUM(C$2:C30))</f>
        <v>7</v>
      </c>
      <c r="G35" s="64">
        <f>SUM(D$2:D35)-IF(ISERROR(SUM(D$2:D30)),0,SUM(D$2:D30))</f>
        <v>0</v>
      </c>
    </row>
    <row r="36" spans="1:7" x14ac:dyDescent="0.45">
      <c r="A36" s="62">
        <v>43890</v>
      </c>
      <c r="B36" s="63">
        <v>1497</v>
      </c>
      <c r="C36" s="63">
        <v>2</v>
      </c>
      <c r="D36" s="63">
        <v>0</v>
      </c>
      <c r="E36" s="64">
        <f>SUM(B$2:B36)-IF(ISERROR(SUM(B$2:B31)),0,SUM(B$2:B31))</f>
        <v>3947</v>
      </c>
      <c r="F36" s="64">
        <f>SUM(C$2:C36)-IF(ISERROR(SUM(C$2:C31)),0,SUM(C$2:C31))</f>
        <v>5</v>
      </c>
      <c r="G36" s="64">
        <f>SUM(D$2:D36)-IF(ISERROR(SUM(D$2:D31)),0,SUM(D$2:D31))</f>
        <v>0</v>
      </c>
    </row>
    <row r="37" spans="1:7" x14ac:dyDescent="0.45">
      <c r="A37" s="62">
        <v>43891</v>
      </c>
      <c r="B37" s="63">
        <v>1267</v>
      </c>
      <c r="C37" s="63">
        <v>5</v>
      </c>
      <c r="D37" s="63">
        <v>0</v>
      </c>
      <c r="E37" s="64">
        <f>SUM(B$2:B37)-IF(ISERROR(SUM(B$2:B32)),0,SUM(B$2:B32))</f>
        <v>4955</v>
      </c>
      <c r="F37" s="64">
        <f>SUM(C$2:C37)-IF(ISERROR(SUM(C$2:C32)),0,SUM(C$2:C32))</f>
        <v>10</v>
      </c>
      <c r="G37" s="64">
        <f>SUM(D$2:D37)-IF(ISERROR(SUM(D$2:D32)),0,SUM(D$2:D32))</f>
        <v>0</v>
      </c>
    </row>
    <row r="38" spans="1:7" x14ac:dyDescent="0.45">
      <c r="A38" s="62">
        <v>43892</v>
      </c>
      <c r="B38" s="63">
        <v>1775</v>
      </c>
      <c r="C38" s="63">
        <v>13</v>
      </c>
      <c r="D38" s="63">
        <v>0</v>
      </c>
      <c r="E38" s="64">
        <f>SUM(B$2:B38)-IF(ISERROR(SUM(B$2:B33)),0,SUM(B$2:B33))</f>
        <v>6393</v>
      </c>
      <c r="F38" s="64">
        <f>SUM(C$2:C38)-IF(ISERROR(SUM(C$2:C33)),0,SUM(C$2:C33))</f>
        <v>23</v>
      </c>
      <c r="G38" s="64">
        <f>SUM(D$2:D38)-IF(ISERROR(SUM(D$2:D33)),0,SUM(D$2:D33))</f>
        <v>0</v>
      </c>
    </row>
    <row r="39" spans="1:7" x14ac:dyDescent="0.45">
      <c r="A39" s="62">
        <v>43893</v>
      </c>
      <c r="B39" s="63">
        <v>386</v>
      </c>
      <c r="C39" s="63">
        <v>4</v>
      </c>
      <c r="D39" s="63">
        <v>0</v>
      </c>
      <c r="E39" s="64">
        <f>SUM(B$2:B39)-IF(ISERROR(SUM(B$2:B34)),0,SUM(B$2:B34))</f>
        <v>6221</v>
      </c>
      <c r="F39" s="64">
        <f>SUM(C$2:C39)-IF(ISERROR(SUM(C$2:C34)),0,SUM(C$2:C34))</f>
        <v>27</v>
      </c>
      <c r="G39" s="64">
        <f>SUM(D$2:D39)-IF(ISERROR(SUM(D$2:D34)),0,SUM(D$2:D34))</f>
        <v>0</v>
      </c>
    </row>
    <row r="40" spans="1:7" x14ac:dyDescent="0.45">
      <c r="A40" s="62">
        <v>43894</v>
      </c>
      <c r="B40" s="63">
        <v>2748</v>
      </c>
      <c r="C40" s="63">
        <v>11</v>
      </c>
      <c r="D40" s="63">
        <v>0</v>
      </c>
      <c r="E40" s="64">
        <f>SUM(B$2:B40)-IF(ISERROR(SUM(B$2:B35)),0,SUM(B$2:B35))</f>
        <v>7673</v>
      </c>
      <c r="F40" s="64">
        <f>SUM(C$2:C40)-IF(ISERROR(SUM(C$2:C35)),0,SUM(C$2:C35))</f>
        <v>35</v>
      </c>
      <c r="G40" s="64">
        <f>SUM(D$2:D40)-IF(ISERROR(SUM(D$2:D35)),0,SUM(D$2:D35))</f>
        <v>0</v>
      </c>
    </row>
    <row r="41" spans="1:7" x14ac:dyDescent="0.45">
      <c r="A41" s="62">
        <v>43895</v>
      </c>
      <c r="B41" s="63">
        <v>1424</v>
      </c>
      <c r="C41" s="63">
        <v>34</v>
      </c>
      <c r="D41" s="63">
        <v>0</v>
      </c>
      <c r="E41" s="64">
        <f>SUM(B$2:B41)-IF(ISERROR(SUM(B$2:B36)),0,SUM(B$2:B36))</f>
        <v>7600</v>
      </c>
      <c r="F41" s="64">
        <f>SUM(C$2:C41)-IF(ISERROR(SUM(C$2:C36)),0,SUM(C$2:C36))</f>
        <v>67</v>
      </c>
      <c r="G41" s="64">
        <f>SUM(D$2:D41)-IF(ISERROR(SUM(D$2:D36)),0,SUM(D$2:D36))</f>
        <v>0</v>
      </c>
    </row>
    <row r="42" spans="1:7" x14ac:dyDescent="0.45">
      <c r="A42" s="62">
        <v>43896</v>
      </c>
      <c r="B42" s="63">
        <v>2255</v>
      </c>
      <c r="C42" s="63">
        <v>30</v>
      </c>
      <c r="D42" s="63">
        <v>0</v>
      </c>
      <c r="E42" s="64">
        <f>SUM(B$2:B42)-IF(ISERROR(SUM(B$2:B37)),0,SUM(B$2:B37))</f>
        <v>8588</v>
      </c>
      <c r="F42" s="64">
        <f>SUM(C$2:C42)-IF(ISERROR(SUM(C$2:C37)),0,SUM(C$2:C37))</f>
        <v>92</v>
      </c>
      <c r="G42" s="64">
        <f>SUM(D$2:D42)-IF(ISERROR(SUM(D$2:D37)),0,SUM(D$2:D37))</f>
        <v>0</v>
      </c>
    </row>
    <row r="43" spans="1:7" x14ac:dyDescent="0.45">
      <c r="A43" s="62">
        <v>43897</v>
      </c>
      <c r="B43" s="63">
        <v>1122</v>
      </c>
      <c r="C43" s="63">
        <v>48</v>
      </c>
      <c r="D43" s="63">
        <v>1</v>
      </c>
      <c r="E43" s="64">
        <f>SUM(B$2:B43)-IF(ISERROR(SUM(B$2:B38)),0,SUM(B$2:B38))</f>
        <v>7935</v>
      </c>
      <c r="F43" s="64">
        <f>SUM(C$2:C43)-IF(ISERROR(SUM(C$2:C38)),0,SUM(C$2:C38))</f>
        <v>127</v>
      </c>
      <c r="G43" s="64">
        <f>SUM(D$2:D43)-IF(ISERROR(SUM(D$2:D38)),0,SUM(D$2:D38))</f>
        <v>1</v>
      </c>
    </row>
    <row r="44" spans="1:7" x14ac:dyDescent="0.45">
      <c r="A44" s="62">
        <v>43898</v>
      </c>
      <c r="B44" s="63">
        <v>2053</v>
      </c>
      <c r="C44" s="63">
        <v>43</v>
      </c>
      <c r="D44" s="63">
        <v>1</v>
      </c>
      <c r="E44" s="64">
        <f>SUM(B$2:B44)-IF(ISERROR(SUM(B$2:B39)),0,SUM(B$2:B39))</f>
        <v>9602</v>
      </c>
      <c r="F44" s="64">
        <f>SUM(C$2:C44)-IF(ISERROR(SUM(C$2:C39)),0,SUM(C$2:C39))</f>
        <v>166</v>
      </c>
      <c r="G44" s="64">
        <f>SUM(D$2:D44)-IF(ISERROR(SUM(D$2:D39)),0,SUM(D$2:D39))</f>
        <v>2</v>
      </c>
    </row>
    <row r="45" spans="1:7" x14ac:dyDescent="0.45">
      <c r="A45" s="62">
        <v>43899</v>
      </c>
      <c r="B45" s="63">
        <v>1447</v>
      </c>
      <c r="C45" s="63">
        <v>67</v>
      </c>
      <c r="D45" s="63">
        <v>0</v>
      </c>
      <c r="E45" s="64">
        <f>SUM(B$2:B45)-IF(ISERROR(SUM(B$2:B40)),0,SUM(B$2:B40))</f>
        <v>8301</v>
      </c>
      <c r="F45" s="64">
        <f>SUM(C$2:C45)-IF(ISERROR(SUM(C$2:C40)),0,SUM(C$2:C40))</f>
        <v>222</v>
      </c>
      <c r="G45" s="64">
        <f>SUM(D$2:D45)-IF(ISERROR(SUM(D$2:D40)),0,SUM(D$2:D40))</f>
        <v>2</v>
      </c>
    </row>
    <row r="46" spans="1:7" x14ac:dyDescent="0.45">
      <c r="A46" s="62">
        <v>43900</v>
      </c>
      <c r="B46" s="63">
        <v>1301</v>
      </c>
      <c r="C46" s="63">
        <v>48</v>
      </c>
      <c r="D46" s="63">
        <v>1</v>
      </c>
      <c r="E46" s="64">
        <f>SUM(B$2:B46)-IF(ISERROR(SUM(B$2:B41)),0,SUM(B$2:B41))</f>
        <v>8178</v>
      </c>
      <c r="F46" s="64">
        <f>SUM(C$2:C46)-IF(ISERROR(SUM(C$2:C41)),0,SUM(C$2:C41))</f>
        <v>236</v>
      </c>
      <c r="G46" s="64">
        <f>SUM(D$2:D46)-IF(ISERROR(SUM(D$2:D41)),0,SUM(D$2:D41))</f>
        <v>3</v>
      </c>
    </row>
    <row r="47" spans="1:7" x14ac:dyDescent="0.45">
      <c r="A47" s="62">
        <v>43901</v>
      </c>
      <c r="B47" s="63">
        <v>1215</v>
      </c>
      <c r="C47" s="63">
        <v>52</v>
      </c>
      <c r="D47" s="63">
        <v>4</v>
      </c>
      <c r="E47" s="64">
        <f>SUM(B$2:B47)-IF(ISERROR(SUM(B$2:B42)),0,SUM(B$2:B42))</f>
        <v>7138</v>
      </c>
      <c r="F47" s="64">
        <f>SUM(C$2:C47)-IF(ISERROR(SUM(C$2:C42)),0,SUM(C$2:C42))</f>
        <v>258</v>
      </c>
      <c r="G47" s="64">
        <f>SUM(D$2:D47)-IF(ISERROR(SUM(D$2:D42)),0,SUM(D$2:D42))</f>
        <v>7</v>
      </c>
    </row>
    <row r="48" spans="1:7" x14ac:dyDescent="0.45">
      <c r="A48" s="62">
        <v>43902</v>
      </c>
      <c r="B48" s="63">
        <v>2288</v>
      </c>
      <c r="C48" s="63">
        <v>83</v>
      </c>
      <c r="D48" s="63">
        <v>0</v>
      </c>
      <c r="E48" s="64">
        <f>SUM(B$2:B48)-IF(ISERROR(SUM(B$2:B43)),0,SUM(B$2:B43))</f>
        <v>8304</v>
      </c>
      <c r="F48" s="64">
        <f>SUM(C$2:C48)-IF(ISERROR(SUM(C$2:C43)),0,SUM(C$2:C43))</f>
        <v>293</v>
      </c>
      <c r="G48" s="64">
        <f>SUM(D$2:D48)-IF(ISERROR(SUM(D$2:D43)),0,SUM(D$2:D43))</f>
        <v>6</v>
      </c>
    </row>
    <row r="49" spans="1:7" x14ac:dyDescent="0.45">
      <c r="A49" s="62">
        <v>43903</v>
      </c>
      <c r="B49" s="63">
        <v>3007</v>
      </c>
      <c r="C49" s="63">
        <v>134</v>
      </c>
      <c r="D49" s="63">
        <v>2</v>
      </c>
      <c r="E49" s="64">
        <f>SUM(B$2:B49)-IF(ISERROR(SUM(B$2:B44)),0,SUM(B$2:B44))</f>
        <v>9258</v>
      </c>
      <c r="F49" s="64">
        <f>SUM(C$2:C49)-IF(ISERROR(SUM(C$2:C44)),0,SUM(C$2:C44))</f>
        <v>384</v>
      </c>
      <c r="G49" s="64">
        <f>SUM(D$2:D49)-IF(ISERROR(SUM(D$2:D44)),0,SUM(D$2:D44))</f>
        <v>7</v>
      </c>
    </row>
    <row r="50" spans="1:7" x14ac:dyDescent="0.45">
      <c r="A50" s="62">
        <v>43904</v>
      </c>
      <c r="B50" s="63">
        <v>4975</v>
      </c>
      <c r="C50" s="63">
        <v>117</v>
      </c>
      <c r="D50" s="63">
        <v>1</v>
      </c>
      <c r="E50" s="64">
        <f>SUM(B$2:B50)-IF(ISERROR(SUM(B$2:B45)),0,SUM(B$2:B45))</f>
        <v>12786</v>
      </c>
      <c r="F50" s="64">
        <f>SUM(C$2:C50)-IF(ISERROR(SUM(C$2:C45)),0,SUM(C$2:C45))</f>
        <v>434</v>
      </c>
      <c r="G50" s="64">
        <f>SUM(D$2:D50)-IF(ISERROR(SUM(D$2:D45)),0,SUM(D$2:D45))</f>
        <v>8</v>
      </c>
    </row>
    <row r="51" spans="1:7" x14ac:dyDescent="0.45">
      <c r="A51" s="62">
        <v>43905</v>
      </c>
      <c r="B51" s="63">
        <v>2533</v>
      </c>
      <c r="C51" s="63">
        <v>433</v>
      </c>
      <c r="D51" s="63">
        <v>18</v>
      </c>
      <c r="E51" s="64">
        <f>SUM(B$2:B51)-IF(ISERROR(SUM(B$2:B46)),0,SUM(B$2:B46))</f>
        <v>14018</v>
      </c>
      <c r="F51" s="64">
        <f>SUM(C$2:C51)-IF(ISERROR(SUM(C$2:C46)),0,SUM(C$2:C46))</f>
        <v>819</v>
      </c>
      <c r="G51" s="64">
        <f>SUM(D$2:D51)-IF(ISERROR(SUM(D$2:D46)),0,SUM(D$2:D46))</f>
        <v>25</v>
      </c>
    </row>
    <row r="52" spans="1:7" x14ac:dyDescent="0.45">
      <c r="A52" s="62">
        <v>43906</v>
      </c>
      <c r="B52" s="63">
        <v>3826</v>
      </c>
      <c r="C52" s="63">
        <v>251</v>
      </c>
      <c r="D52" s="63">
        <v>15</v>
      </c>
      <c r="E52" s="64">
        <f>SUM(B$2:B52)-IF(ISERROR(SUM(B$2:B47)),0,SUM(B$2:B47))</f>
        <v>16629</v>
      </c>
      <c r="F52" s="64">
        <f>SUM(C$2:C52)-IF(ISERROR(SUM(C$2:C47)),0,SUM(C$2:C47))</f>
        <v>1018</v>
      </c>
      <c r="G52" s="64">
        <f>SUM(D$2:D52)-IF(ISERROR(SUM(D$2:D47)),0,SUM(D$2:D47))</f>
        <v>36</v>
      </c>
    </row>
    <row r="53" spans="1:7" x14ac:dyDescent="0.45">
      <c r="A53" s="62">
        <v>43907</v>
      </c>
      <c r="B53" s="63">
        <v>6337</v>
      </c>
      <c r="C53" s="63">
        <v>152</v>
      </c>
      <c r="D53" s="63">
        <v>22</v>
      </c>
      <c r="E53" s="64">
        <f>SUM(B$2:B53)-IF(ISERROR(SUM(B$2:B48)),0,SUM(B$2:B48))</f>
        <v>20678</v>
      </c>
      <c r="F53" s="64">
        <f>SUM(C$2:C53)-IF(ISERROR(SUM(C$2:C48)),0,SUM(C$2:C48))</f>
        <v>1087</v>
      </c>
      <c r="G53" s="64">
        <f>SUM(D$2:D53)-IF(ISERROR(SUM(D$2:D48)),0,SUM(D$2:D48))</f>
        <v>58</v>
      </c>
    </row>
    <row r="54" spans="1:7" x14ac:dyDescent="0.45">
      <c r="A54" s="62">
        <v>43908</v>
      </c>
      <c r="B54" s="63">
        <v>5779</v>
      </c>
      <c r="C54" s="63">
        <v>407</v>
      </c>
      <c r="D54" s="63">
        <v>16</v>
      </c>
      <c r="E54" s="64">
        <f>SUM(B$2:B54)-IF(ISERROR(SUM(B$2:B49)),0,SUM(B$2:B49))</f>
        <v>23450</v>
      </c>
      <c r="F54" s="64">
        <f>SUM(C$2:C54)-IF(ISERROR(SUM(C$2:C49)),0,SUM(C$2:C49))</f>
        <v>1360</v>
      </c>
      <c r="G54" s="64">
        <f>SUM(D$2:D54)-IF(ISERROR(SUM(D$2:D49)),0,SUM(D$2:D49))</f>
        <v>72</v>
      </c>
    </row>
    <row r="55" spans="1:7" x14ac:dyDescent="0.45">
      <c r="A55" s="62">
        <v>43909</v>
      </c>
      <c r="B55" s="63">
        <v>8400</v>
      </c>
      <c r="C55" s="63">
        <v>680</v>
      </c>
      <c r="D55" s="63">
        <v>34</v>
      </c>
      <c r="E55" s="64">
        <f>SUM(B$2:B55)-IF(ISERROR(SUM(B$2:B50)),0,SUM(B$2:B50))</f>
        <v>26875</v>
      </c>
      <c r="F55" s="64">
        <f>SUM(C$2:C55)-IF(ISERROR(SUM(C$2:C50)),0,SUM(C$2:C50))</f>
        <v>1923</v>
      </c>
      <c r="G55" s="64">
        <f>SUM(D$2:D55)-IF(ISERROR(SUM(D$2:D50)),0,SUM(D$2:D50))</f>
        <v>105</v>
      </c>
    </row>
    <row r="56" spans="1:7" x14ac:dyDescent="0.45">
      <c r="A56" s="62">
        <v>43910</v>
      </c>
      <c r="B56" s="63">
        <v>2355</v>
      </c>
      <c r="C56" s="63">
        <v>647</v>
      </c>
      <c r="D56" s="63">
        <v>43</v>
      </c>
      <c r="E56" s="64">
        <f>SUM(B$2:B56)-IF(ISERROR(SUM(B$2:B51)),0,SUM(B$2:B51))</f>
        <v>26697</v>
      </c>
      <c r="F56" s="64">
        <f>SUM(C$2:C56)-IF(ISERROR(SUM(C$2:C51)),0,SUM(C$2:C51))</f>
        <v>2137</v>
      </c>
      <c r="G56" s="64">
        <f>SUM(D$2:D56)-IF(ISERROR(SUM(D$2:D51)),0,SUM(D$2:D51))</f>
        <v>130</v>
      </c>
    </row>
    <row r="57" spans="1:7" x14ac:dyDescent="0.45">
      <c r="A57" s="62">
        <v>43911</v>
      </c>
      <c r="B57" s="63">
        <v>5842</v>
      </c>
      <c r="C57" s="63">
        <v>706</v>
      </c>
      <c r="D57" s="63">
        <v>36</v>
      </c>
      <c r="E57" s="64">
        <f>SUM(B$2:B57)-IF(ISERROR(SUM(B$2:B52)),0,SUM(B$2:B52))</f>
        <v>28713</v>
      </c>
      <c r="F57" s="64">
        <f>SUM(C$2:C57)-IF(ISERROR(SUM(C$2:C52)),0,SUM(C$2:C52))</f>
        <v>2592</v>
      </c>
      <c r="G57" s="64">
        <f>SUM(D$2:D57)-IF(ISERROR(SUM(D$2:D52)),0,SUM(D$2:D52))</f>
        <v>151</v>
      </c>
    </row>
    <row r="58" spans="1:7" x14ac:dyDescent="0.45">
      <c r="A58" s="62">
        <v>43912</v>
      </c>
      <c r="B58" s="63">
        <v>5522</v>
      </c>
      <c r="C58" s="63">
        <v>1035</v>
      </c>
      <c r="D58" s="63">
        <v>56</v>
      </c>
      <c r="E58" s="64">
        <f>SUM(B$2:B58)-IF(ISERROR(SUM(B$2:B53)),0,SUM(B$2:B53))</f>
        <v>27898</v>
      </c>
      <c r="F58" s="64">
        <f>SUM(C$2:C58)-IF(ISERROR(SUM(C$2:C53)),0,SUM(C$2:C53))</f>
        <v>3475</v>
      </c>
      <c r="G58" s="64">
        <f>SUM(D$2:D58)-IF(ISERROR(SUM(D$2:D53)),0,SUM(D$2:D53))</f>
        <v>185</v>
      </c>
    </row>
    <row r="59" spans="1:7" x14ac:dyDescent="0.45">
      <c r="A59" s="62">
        <v>43913</v>
      </c>
      <c r="B59" s="63">
        <v>5605</v>
      </c>
      <c r="C59" s="63">
        <v>665</v>
      </c>
      <c r="D59" s="63">
        <v>35</v>
      </c>
      <c r="E59" s="64">
        <f>SUM(B$2:B59)-IF(ISERROR(SUM(B$2:B54)),0,SUM(B$2:B54))</f>
        <v>27724</v>
      </c>
      <c r="F59" s="64">
        <f>SUM(C$2:C59)-IF(ISERROR(SUM(C$2:C54)),0,SUM(C$2:C54))</f>
        <v>3733</v>
      </c>
      <c r="G59" s="64">
        <f>SUM(D$2:D59)-IF(ISERROR(SUM(D$2:D54)),0,SUM(D$2:D54))</f>
        <v>204</v>
      </c>
    </row>
    <row r="60" spans="1:7" x14ac:dyDescent="0.45">
      <c r="A60" s="62">
        <v>43914</v>
      </c>
      <c r="B60" s="63">
        <v>6491</v>
      </c>
      <c r="C60" s="63">
        <v>967</v>
      </c>
      <c r="D60" s="63">
        <v>74</v>
      </c>
      <c r="E60" s="64">
        <f>SUM(B$2:B60)-IF(ISERROR(SUM(B$2:B55)),0,SUM(B$2:B55))</f>
        <v>25815</v>
      </c>
      <c r="F60" s="64">
        <f>SUM(C$2:C60)-IF(ISERROR(SUM(C$2:C55)),0,SUM(C$2:C55))</f>
        <v>4020</v>
      </c>
      <c r="G60" s="64">
        <f>SUM(D$2:D60)-IF(ISERROR(SUM(D$2:D55)),0,SUM(D$2:D55))</f>
        <v>244</v>
      </c>
    </row>
    <row r="61" spans="1:7" x14ac:dyDescent="0.45">
      <c r="A61" s="62">
        <v>43915</v>
      </c>
      <c r="B61" s="63">
        <v>6583</v>
      </c>
      <c r="C61" s="63">
        <v>1427</v>
      </c>
      <c r="D61" s="63">
        <v>149</v>
      </c>
      <c r="E61" s="64">
        <f>SUM(B$2:B61)-IF(ISERROR(SUM(B$2:B56)),0,SUM(B$2:B56))</f>
        <v>30043</v>
      </c>
      <c r="F61" s="64">
        <f>SUM(C$2:C61)-IF(ISERROR(SUM(C$2:C56)),0,SUM(C$2:C56))</f>
        <v>4800</v>
      </c>
      <c r="G61" s="64">
        <f>SUM(D$2:D61)-IF(ISERROR(SUM(D$2:D56)),0,SUM(D$2:D56))</f>
        <v>350</v>
      </c>
    </row>
    <row r="62" spans="1:7" x14ac:dyDescent="0.45">
      <c r="A62" s="62">
        <v>43916</v>
      </c>
      <c r="B62" s="63">
        <v>7847</v>
      </c>
      <c r="C62" s="63">
        <v>1452</v>
      </c>
      <c r="D62" s="63">
        <v>186</v>
      </c>
      <c r="E62" s="64">
        <f>SUM(B$2:B62)-IF(ISERROR(SUM(B$2:B57)),0,SUM(B$2:B57))</f>
        <v>32048</v>
      </c>
      <c r="F62" s="64">
        <f>SUM(C$2:C62)-IF(ISERROR(SUM(C$2:C57)),0,SUM(C$2:C57))</f>
        <v>5546</v>
      </c>
      <c r="G62" s="64">
        <f>SUM(D$2:D62)-IF(ISERROR(SUM(D$2:D57)),0,SUM(D$2:D57))</f>
        <v>500</v>
      </c>
    </row>
    <row r="63" spans="1:7" x14ac:dyDescent="0.45">
      <c r="A63" s="62">
        <v>43917</v>
      </c>
      <c r="B63" s="63">
        <v>8911</v>
      </c>
      <c r="C63" s="63">
        <v>2129</v>
      </c>
      <c r="D63" s="63">
        <v>183</v>
      </c>
      <c r="E63" s="64">
        <f>SUM(B$2:B63)-IF(ISERROR(SUM(B$2:B58)),0,SUM(B$2:B58))</f>
        <v>35437</v>
      </c>
      <c r="F63" s="64">
        <f>SUM(C$2:C63)-IF(ISERROR(SUM(C$2:C58)),0,SUM(C$2:C58))</f>
        <v>6640</v>
      </c>
      <c r="G63" s="64">
        <f>SUM(D$2:D63)-IF(ISERROR(SUM(D$2:D58)),0,SUM(D$2:D58))</f>
        <v>627</v>
      </c>
    </row>
    <row r="64" spans="1:7" x14ac:dyDescent="0.45">
      <c r="A64" s="62">
        <v>43918</v>
      </c>
      <c r="B64" s="63">
        <v>6999</v>
      </c>
      <c r="C64" s="63">
        <v>2885</v>
      </c>
      <c r="D64" s="63">
        <v>284</v>
      </c>
      <c r="E64" s="64">
        <f>SUM(B$2:B64)-IF(ISERROR(SUM(B$2:B59)),0,SUM(B$2:B59))</f>
        <v>36831</v>
      </c>
      <c r="F64" s="64">
        <f>SUM(C$2:C64)-IF(ISERROR(SUM(C$2:C59)),0,SUM(C$2:C59))</f>
        <v>8860</v>
      </c>
      <c r="G64" s="64">
        <f>SUM(D$2:D64)-IF(ISERROR(SUM(D$2:D59)),0,SUM(D$2:D59))</f>
        <v>876</v>
      </c>
    </row>
    <row r="65" spans="1:7" x14ac:dyDescent="0.45">
      <c r="A65" s="62">
        <v>43919</v>
      </c>
      <c r="B65" s="63">
        <v>6961</v>
      </c>
      <c r="C65" s="63">
        <v>2546</v>
      </c>
      <c r="D65" s="63">
        <v>294</v>
      </c>
      <c r="E65" s="64">
        <f>SUM(B$2:B65)-IF(ISERROR(SUM(B$2:B60)),0,SUM(B$2:B60))</f>
        <v>37301</v>
      </c>
      <c r="F65" s="64">
        <f>SUM(C$2:C65)-IF(ISERROR(SUM(C$2:C60)),0,SUM(C$2:C60))</f>
        <v>10439</v>
      </c>
      <c r="G65" s="64">
        <f>SUM(D$2:D65)-IF(ISERROR(SUM(D$2:D60)),0,SUM(D$2:D60))</f>
        <v>1096</v>
      </c>
    </row>
    <row r="66" spans="1:7" x14ac:dyDescent="0.45">
      <c r="A66" s="62">
        <v>43920</v>
      </c>
      <c r="B66" s="63">
        <v>7209</v>
      </c>
      <c r="C66" s="63">
        <v>2433</v>
      </c>
      <c r="D66" s="63">
        <v>214</v>
      </c>
      <c r="E66" s="64">
        <f>SUM(B$2:B66)-IF(ISERROR(SUM(B$2:B61)),0,SUM(B$2:B61))</f>
        <v>37927</v>
      </c>
      <c r="F66" s="64">
        <f>SUM(C$2:C66)-IF(ISERROR(SUM(C$2:C61)),0,SUM(C$2:C61))</f>
        <v>11445</v>
      </c>
      <c r="G66" s="64">
        <f>SUM(D$2:D66)-IF(ISERROR(SUM(D$2:D61)),0,SUM(D$2:D61))</f>
        <v>1161</v>
      </c>
    </row>
    <row r="67" spans="1:7" x14ac:dyDescent="0.45">
      <c r="A67" s="62">
        <v>43921</v>
      </c>
      <c r="B67" s="63">
        <v>8240</v>
      </c>
      <c r="C67" s="63">
        <v>2619</v>
      </c>
      <c r="D67" s="63">
        <v>374</v>
      </c>
      <c r="E67" s="64">
        <f>SUM(B$2:B67)-IF(ISERROR(SUM(B$2:B62)),0,SUM(B$2:B62))</f>
        <v>38320</v>
      </c>
      <c r="F67" s="64">
        <f>SUM(C$2:C67)-IF(ISERROR(SUM(C$2:C62)),0,SUM(C$2:C62))</f>
        <v>12612</v>
      </c>
      <c r="G67" s="64">
        <f>SUM(D$2:D67)-IF(ISERROR(SUM(D$2:D62)),0,SUM(D$2:D62))</f>
        <v>1349</v>
      </c>
    </row>
    <row r="68" spans="1:7" x14ac:dyDescent="0.45">
      <c r="A68" s="62">
        <v>43922</v>
      </c>
      <c r="B68" s="63">
        <v>9793</v>
      </c>
      <c r="C68" s="63">
        <v>3009</v>
      </c>
      <c r="D68" s="63">
        <v>382</v>
      </c>
      <c r="E68" s="64">
        <f>SUM(B$2:B68)-IF(ISERROR(SUM(B$2:B63)),0,SUM(B$2:B63))</f>
        <v>39202</v>
      </c>
      <c r="F68" s="64">
        <f>SUM(C$2:C68)-IF(ISERROR(SUM(C$2:C63)),0,SUM(C$2:C63))</f>
        <v>13492</v>
      </c>
      <c r="G68" s="64">
        <f>SUM(D$2:D68)-IF(ISERROR(SUM(D$2:D63)),0,SUM(D$2:D63))</f>
        <v>1548</v>
      </c>
    </row>
    <row r="69" spans="1:7" x14ac:dyDescent="0.45">
      <c r="A69" s="62">
        <v>43923</v>
      </c>
      <c r="B69" s="63">
        <v>10215</v>
      </c>
      <c r="C69" s="63">
        <v>4324</v>
      </c>
      <c r="D69" s="63">
        <v>670</v>
      </c>
      <c r="E69" s="64">
        <f>SUM(B$2:B69)-IF(ISERROR(SUM(B$2:B64)),0,SUM(B$2:B64))</f>
        <v>42418</v>
      </c>
      <c r="F69" s="64">
        <f>SUM(C$2:C69)-IF(ISERROR(SUM(C$2:C64)),0,SUM(C$2:C64))</f>
        <v>14931</v>
      </c>
      <c r="G69" s="64">
        <f>SUM(D$2:D69)-IF(ISERROR(SUM(D$2:D64)),0,SUM(D$2:D64))</f>
        <v>1934</v>
      </c>
    </row>
    <row r="70" spans="1:7" x14ac:dyDescent="0.45">
      <c r="A70" s="62">
        <v>43924</v>
      </c>
      <c r="B70" s="63">
        <v>10590</v>
      </c>
      <c r="C70" s="63">
        <v>4244</v>
      </c>
      <c r="D70" s="63">
        <v>652</v>
      </c>
      <c r="E70" s="64">
        <f>SUM(B$2:B70)-IF(ISERROR(SUM(B$2:B65)),0,SUM(B$2:B65))</f>
        <v>46047</v>
      </c>
      <c r="F70" s="64">
        <f>SUM(C$2:C70)-IF(ISERROR(SUM(C$2:C65)),0,SUM(C$2:C65))</f>
        <v>16629</v>
      </c>
      <c r="G70" s="64">
        <f>SUM(D$2:D70)-IF(ISERROR(SUM(D$2:D65)),0,SUM(D$2:D65))</f>
        <v>2292</v>
      </c>
    </row>
    <row r="71" spans="1:7" x14ac:dyDescent="0.45">
      <c r="A71" s="62">
        <v>43925</v>
      </c>
      <c r="B71" s="63">
        <v>9406</v>
      </c>
      <c r="C71" s="63">
        <v>4450</v>
      </c>
      <c r="D71" s="63">
        <v>714</v>
      </c>
      <c r="E71" s="64">
        <f>SUM(B$2:B71)-IF(ISERROR(SUM(B$2:B66)),0,SUM(B$2:B66))</f>
        <v>48244</v>
      </c>
      <c r="F71" s="64">
        <f>SUM(C$2:C71)-IF(ISERROR(SUM(C$2:C66)),0,SUM(C$2:C66))</f>
        <v>18646</v>
      </c>
      <c r="G71" s="64">
        <f>SUM(D$2:D71)-IF(ISERROR(SUM(D$2:D66)),0,SUM(D$2:D66))</f>
        <v>2792</v>
      </c>
    </row>
    <row r="72" spans="1:7" x14ac:dyDescent="0.45">
      <c r="A72" s="62">
        <v>43926</v>
      </c>
      <c r="B72" s="63">
        <v>12334</v>
      </c>
      <c r="C72" s="63">
        <v>3735</v>
      </c>
      <c r="D72" s="63">
        <v>760</v>
      </c>
      <c r="E72" s="64">
        <f>SUM(B$2:B72)-IF(ISERROR(SUM(B$2:B67)),0,SUM(B$2:B67))</f>
        <v>52338</v>
      </c>
      <c r="F72" s="64">
        <f>SUM(C$2:C72)-IF(ISERROR(SUM(C$2:C67)),0,SUM(C$2:C67))</f>
        <v>19762</v>
      </c>
      <c r="G72" s="64">
        <f>SUM(D$2:D72)-IF(ISERROR(SUM(D$2:D67)),0,SUM(D$2:D67))</f>
        <v>3178</v>
      </c>
    </row>
    <row r="73" spans="1:7" x14ac:dyDescent="0.45">
      <c r="A73" s="62">
        <v>43927</v>
      </c>
      <c r="B73" s="63">
        <v>13313</v>
      </c>
      <c r="C73" s="63">
        <v>5903</v>
      </c>
      <c r="D73" s="63">
        <v>644</v>
      </c>
      <c r="E73" s="64">
        <f>SUM(B$2:B73)-IF(ISERROR(SUM(B$2:B68)),0,SUM(B$2:B68))</f>
        <v>55858</v>
      </c>
      <c r="F73" s="64">
        <f>SUM(C$2:C73)-IF(ISERROR(SUM(C$2:C68)),0,SUM(C$2:C68))</f>
        <v>22656</v>
      </c>
      <c r="G73" s="64">
        <f>SUM(D$2:D73)-IF(ISERROR(SUM(D$2:D68)),0,SUM(D$2:D68))</f>
        <v>3440</v>
      </c>
    </row>
    <row r="74" spans="1:7" x14ac:dyDescent="0.45">
      <c r="A74" s="62">
        <v>43928</v>
      </c>
      <c r="B74" s="63">
        <v>4344</v>
      </c>
      <c r="C74" s="63">
        <v>3802</v>
      </c>
      <c r="D74" s="63">
        <v>568</v>
      </c>
      <c r="E74" s="64">
        <f>SUM(B$2:B74)-IF(ISERROR(SUM(B$2:B69)),0,SUM(B$2:B69))</f>
        <v>49987</v>
      </c>
      <c r="F74" s="64">
        <f>SUM(C$2:C74)-IF(ISERROR(SUM(C$2:C69)),0,SUM(C$2:C69))</f>
        <v>22134</v>
      </c>
      <c r="G74" s="64">
        <f>SUM(D$2:D74)-IF(ISERROR(SUM(D$2:D69)),0,SUM(D$2:D69))</f>
        <v>3338</v>
      </c>
    </row>
    <row r="75" spans="1:7" x14ac:dyDescent="0.45">
      <c r="A75" s="62">
        <v>43929</v>
      </c>
      <c r="B75" s="63">
        <v>12959</v>
      </c>
      <c r="C75" s="63">
        <v>3634</v>
      </c>
      <c r="D75" s="63">
        <v>1038</v>
      </c>
      <c r="E75" s="64">
        <f>SUM(B$2:B75)-IF(ISERROR(SUM(B$2:B70)),0,SUM(B$2:B70))</f>
        <v>52356</v>
      </c>
      <c r="F75" s="64">
        <f>SUM(C$2:C75)-IF(ISERROR(SUM(C$2:C70)),0,SUM(C$2:C70))</f>
        <v>21524</v>
      </c>
      <c r="G75" s="64">
        <f>SUM(D$2:D75)-IF(ISERROR(SUM(D$2:D70)),0,SUM(D$2:D70))</f>
        <v>3724</v>
      </c>
    </row>
    <row r="76" spans="1:7" x14ac:dyDescent="0.45">
      <c r="A76" s="62">
        <v>43930</v>
      </c>
      <c r="B76" s="63">
        <v>10713</v>
      </c>
      <c r="C76" s="63">
        <v>5491</v>
      </c>
      <c r="D76" s="63">
        <v>1034</v>
      </c>
      <c r="E76" s="64">
        <f>SUM(B$2:B76)-IF(ISERROR(SUM(B$2:B71)),0,SUM(B$2:B71))</f>
        <v>53663</v>
      </c>
      <c r="F76" s="64">
        <f>SUM(C$2:C76)-IF(ISERROR(SUM(C$2:C71)),0,SUM(C$2:C71))</f>
        <v>22565</v>
      </c>
      <c r="G76" s="64">
        <f>SUM(D$2:D76)-IF(ISERROR(SUM(D$2:D71)),0,SUM(D$2:D71))</f>
        <v>4044</v>
      </c>
    </row>
    <row r="77" spans="1:7" x14ac:dyDescent="0.45">
      <c r="A77" s="62">
        <v>43931</v>
      </c>
      <c r="B77" s="63">
        <v>13543</v>
      </c>
      <c r="C77" s="63">
        <v>4344</v>
      </c>
      <c r="D77" s="63">
        <v>1103</v>
      </c>
      <c r="E77" s="64">
        <f>SUM(B$2:B77)-IF(ISERROR(SUM(B$2:B72)),0,SUM(B$2:B72))</f>
        <v>54872</v>
      </c>
      <c r="F77" s="64">
        <f>SUM(C$2:C77)-IF(ISERROR(SUM(C$2:C72)),0,SUM(C$2:C72))</f>
        <v>23174</v>
      </c>
      <c r="G77" s="64">
        <f>SUM(D$2:D77)-IF(ISERROR(SUM(D$2:D72)),0,SUM(D$2:D72))</f>
        <v>4387</v>
      </c>
    </row>
    <row r="78" spans="1:7" x14ac:dyDescent="0.45">
      <c r="A78" s="62">
        <v>43932</v>
      </c>
      <c r="B78" s="63">
        <v>12993</v>
      </c>
      <c r="C78" s="63">
        <v>5195</v>
      </c>
      <c r="D78" s="63">
        <v>1152</v>
      </c>
      <c r="E78" s="64">
        <f>SUM(B$2:B78)-IF(ISERROR(SUM(B$2:B73)),0,SUM(B$2:B73))</f>
        <v>54552</v>
      </c>
      <c r="F78" s="64">
        <f>SUM(C$2:C78)-IF(ISERROR(SUM(C$2:C73)),0,SUM(C$2:C73))</f>
        <v>22466</v>
      </c>
      <c r="G78" s="64">
        <f>SUM(D$2:D78)-IF(ISERROR(SUM(D$2:D73)),0,SUM(D$2:D73))</f>
        <v>4895</v>
      </c>
    </row>
    <row r="79" spans="1:7" x14ac:dyDescent="0.45">
      <c r="A79" s="62">
        <v>43933</v>
      </c>
      <c r="B79" s="63">
        <v>12776</v>
      </c>
      <c r="C79" s="63">
        <v>8719</v>
      </c>
      <c r="D79" s="63">
        <v>839</v>
      </c>
      <c r="E79" s="64">
        <f>SUM(B$2:B79)-IF(ISERROR(SUM(B$2:B74)),0,SUM(B$2:B74))</f>
        <v>62984</v>
      </c>
      <c r="F79" s="64">
        <f>SUM(C$2:C79)-IF(ISERROR(SUM(C$2:C74)),0,SUM(C$2:C74))</f>
        <v>27383</v>
      </c>
      <c r="G79" s="64">
        <f>SUM(D$2:D79)-IF(ISERROR(SUM(D$2:D74)),0,SUM(D$2:D74))</f>
        <v>5166</v>
      </c>
    </row>
    <row r="80" spans="1:7" x14ac:dyDescent="0.45">
      <c r="A80" s="62">
        <v>43934</v>
      </c>
      <c r="B80" s="63">
        <v>10745</v>
      </c>
      <c r="C80" s="63">
        <v>5288</v>
      </c>
      <c r="D80" s="63">
        <v>686</v>
      </c>
      <c r="E80" s="64">
        <f>SUM(B$2:B80)-IF(ISERROR(SUM(B$2:B75)),0,SUM(B$2:B75))</f>
        <v>60770</v>
      </c>
      <c r="F80" s="64">
        <f>SUM(C$2:C80)-IF(ISERROR(SUM(C$2:C75)),0,SUM(C$2:C75))</f>
        <v>29037</v>
      </c>
      <c r="G80" s="64">
        <f>SUM(D$2:D80)-IF(ISERROR(SUM(D$2:D75)),0,SUM(D$2:D75))</f>
        <v>4814</v>
      </c>
    </row>
    <row r="81" spans="1:7" x14ac:dyDescent="0.45">
      <c r="A81" s="62">
        <v>43935</v>
      </c>
      <c r="B81" s="63">
        <v>11879</v>
      </c>
      <c r="C81" s="63">
        <v>4342</v>
      </c>
      <c r="D81" s="63">
        <v>744</v>
      </c>
      <c r="E81" s="64">
        <f>SUM(B$2:B81)-IF(ISERROR(SUM(B$2:B76)),0,SUM(B$2:B76))</f>
        <v>61936</v>
      </c>
      <c r="F81" s="64">
        <f>SUM(C$2:C81)-IF(ISERROR(SUM(C$2:C76)),0,SUM(C$2:C76))</f>
        <v>27888</v>
      </c>
      <c r="G81" s="64">
        <f>SUM(D$2:D81)-IF(ISERROR(SUM(D$2:D76)),0,SUM(D$2:D76))</f>
        <v>4524</v>
      </c>
    </row>
    <row r="82" spans="1:7" x14ac:dyDescent="0.45">
      <c r="A82" s="62">
        <v>43936</v>
      </c>
      <c r="B82" s="63">
        <v>11170</v>
      </c>
      <c r="C82" s="63">
        <v>5252</v>
      </c>
      <c r="D82" s="63">
        <v>1044</v>
      </c>
      <c r="E82" s="64">
        <f>SUM(B$2:B82)-IF(ISERROR(SUM(B$2:B77)),0,SUM(B$2:B77))</f>
        <v>59563</v>
      </c>
      <c r="F82" s="64">
        <f>SUM(C$2:C82)-IF(ISERROR(SUM(C$2:C77)),0,SUM(C$2:C77))</f>
        <v>28796</v>
      </c>
      <c r="G82" s="64">
        <f>SUM(D$2:D82)-IF(ISERROR(SUM(D$2:D77)),0,SUM(D$2:D77))</f>
        <v>4465</v>
      </c>
    </row>
    <row r="83" spans="1:7" x14ac:dyDescent="0.45">
      <c r="A83" s="62">
        <v>43937</v>
      </c>
      <c r="B83" s="63">
        <v>13839</v>
      </c>
      <c r="C83" s="63">
        <v>4603</v>
      </c>
      <c r="D83" s="63">
        <v>842</v>
      </c>
      <c r="E83" s="64">
        <f>SUM(B$2:B83)-IF(ISERROR(SUM(B$2:B78)),0,SUM(B$2:B78))</f>
        <v>60409</v>
      </c>
      <c r="F83" s="64">
        <f>SUM(C$2:C83)-IF(ISERROR(SUM(C$2:C78)),0,SUM(C$2:C78))</f>
        <v>28204</v>
      </c>
      <c r="G83" s="64">
        <f>SUM(D$2:D83)-IF(ISERROR(SUM(D$2:D78)),0,SUM(D$2:D78))</f>
        <v>4155</v>
      </c>
    </row>
    <row r="84" spans="1:7" x14ac:dyDescent="0.45">
      <c r="A84" s="62">
        <v>43938</v>
      </c>
      <c r="B84" s="63">
        <v>13943</v>
      </c>
      <c r="C84" s="63">
        <v>4617</v>
      </c>
      <c r="D84" s="63">
        <v>1029</v>
      </c>
      <c r="E84" s="64">
        <f>SUM(B$2:B84)-IF(ISERROR(SUM(B$2:B79)),0,SUM(B$2:B79))</f>
        <v>61576</v>
      </c>
      <c r="F84" s="64">
        <f>SUM(C$2:C84)-IF(ISERROR(SUM(C$2:C79)),0,SUM(C$2:C79))</f>
        <v>24102</v>
      </c>
      <c r="G84" s="64">
        <f>SUM(D$2:D84)-IF(ISERROR(SUM(D$2:D79)),0,SUM(D$2:D79))</f>
        <v>4345</v>
      </c>
    </row>
    <row r="85" spans="1:7" x14ac:dyDescent="0.45">
      <c r="A85" s="62">
        <v>43939</v>
      </c>
      <c r="B85" s="63">
        <v>15472</v>
      </c>
      <c r="C85" s="63">
        <v>5599</v>
      </c>
      <c r="D85" s="63">
        <v>935</v>
      </c>
      <c r="E85" s="64">
        <f>SUM(B$2:B85)-IF(ISERROR(SUM(B$2:B80)),0,SUM(B$2:B80))</f>
        <v>66303</v>
      </c>
      <c r="F85" s="64">
        <f>SUM(C$2:C85)-IF(ISERROR(SUM(C$2:C80)),0,SUM(C$2:C80))</f>
        <v>24413</v>
      </c>
      <c r="G85" s="64">
        <f>SUM(D$2:D85)-IF(ISERROR(SUM(D$2:D80)),0,SUM(D$2:D80))</f>
        <v>4594</v>
      </c>
    </row>
    <row r="86" spans="1:7" x14ac:dyDescent="0.45">
      <c r="A86" s="62">
        <v>43940</v>
      </c>
      <c r="B86" s="63">
        <v>15944</v>
      </c>
      <c r="C86" s="63">
        <v>5525</v>
      </c>
      <c r="D86" s="63">
        <v>1115</v>
      </c>
      <c r="E86" s="64">
        <f>SUM(B$2:B86)-IF(ISERROR(SUM(B$2:B81)),0,SUM(B$2:B81))</f>
        <v>70368</v>
      </c>
      <c r="F86" s="64">
        <f>SUM(C$2:C86)-IF(ISERROR(SUM(C$2:C81)),0,SUM(C$2:C81))</f>
        <v>25596</v>
      </c>
      <c r="G86" s="64">
        <f>SUM(D$2:D86)-IF(ISERROR(SUM(D$2:D81)),0,SUM(D$2:D81))</f>
        <v>4965</v>
      </c>
    </row>
    <row r="87" spans="1:7" x14ac:dyDescent="0.45">
      <c r="A87" s="62">
        <v>43941</v>
      </c>
      <c r="B87" s="63">
        <v>14106</v>
      </c>
      <c r="C87" s="63">
        <v>5850</v>
      </c>
      <c r="D87" s="63">
        <v>498</v>
      </c>
      <c r="E87" s="64">
        <f>SUM(B$2:B87)-IF(ISERROR(SUM(B$2:B82)),0,SUM(B$2:B82))</f>
        <v>73304</v>
      </c>
      <c r="F87" s="64">
        <f>SUM(C$2:C87)-IF(ISERROR(SUM(C$2:C82)),0,SUM(C$2:C82))</f>
        <v>26194</v>
      </c>
      <c r="G87" s="64">
        <f>SUM(D$2:D87)-IF(ISERROR(SUM(D$2:D82)),0,SUM(D$2:D82))</f>
        <v>4419</v>
      </c>
    </row>
    <row r="88" spans="1:7" x14ac:dyDescent="0.45">
      <c r="A88" s="62">
        <v>43942</v>
      </c>
      <c r="B88" s="63">
        <v>11626</v>
      </c>
      <c r="C88" s="63">
        <v>4676</v>
      </c>
      <c r="D88" s="63">
        <v>559</v>
      </c>
      <c r="E88" s="64">
        <f>SUM(B$2:B88)-IF(ISERROR(SUM(B$2:B83)),0,SUM(B$2:B83))</f>
        <v>71091</v>
      </c>
      <c r="F88" s="64">
        <f>SUM(C$2:C88)-IF(ISERROR(SUM(C$2:C83)),0,SUM(C$2:C83))</f>
        <v>26267</v>
      </c>
      <c r="G88" s="64">
        <f>SUM(D$2:D88)-IF(ISERROR(SUM(D$2:D83)),0,SUM(D$2:D83))</f>
        <v>4136</v>
      </c>
    </row>
    <row r="89" spans="1:7" x14ac:dyDescent="0.45">
      <c r="A89" s="62">
        <v>43943</v>
      </c>
      <c r="B89" s="63">
        <v>13522</v>
      </c>
      <c r="C89" s="63">
        <v>4301</v>
      </c>
      <c r="D89" s="63">
        <v>1172</v>
      </c>
      <c r="E89" s="64">
        <f>SUM(B$2:B89)-IF(ISERROR(SUM(B$2:B84)),0,SUM(B$2:B84))</f>
        <v>70670</v>
      </c>
      <c r="F89" s="64">
        <f>SUM(C$2:C89)-IF(ISERROR(SUM(C$2:C84)),0,SUM(C$2:C84))</f>
        <v>25951</v>
      </c>
      <c r="G89" s="64">
        <f>SUM(D$2:D89)-IF(ISERROR(SUM(D$2:D84)),0,SUM(D$2:D84))</f>
        <v>4279</v>
      </c>
    </row>
    <row r="90" spans="1:7" x14ac:dyDescent="0.45">
      <c r="A90" s="62">
        <v>43944</v>
      </c>
      <c r="B90" s="63">
        <v>14629</v>
      </c>
      <c r="C90" s="63">
        <v>4451</v>
      </c>
      <c r="D90" s="63">
        <v>837</v>
      </c>
      <c r="E90" s="64">
        <f>SUM(B$2:B90)-IF(ISERROR(SUM(B$2:B85)),0,SUM(B$2:B85))</f>
        <v>69827</v>
      </c>
      <c r="F90" s="64">
        <f>SUM(C$2:C90)-IF(ISERROR(SUM(C$2:C85)),0,SUM(C$2:C85))</f>
        <v>24803</v>
      </c>
      <c r="G90" s="64">
        <f>SUM(D$2:D90)-IF(ISERROR(SUM(D$2:D85)),0,SUM(D$2:D85))</f>
        <v>4181</v>
      </c>
    </row>
    <row r="91" spans="1:7" x14ac:dyDescent="0.45">
      <c r="A91" s="62">
        <v>43945</v>
      </c>
      <c r="B91" s="63">
        <v>18401</v>
      </c>
      <c r="C91" s="63">
        <v>4583</v>
      </c>
      <c r="D91" s="63">
        <v>727</v>
      </c>
      <c r="E91" s="64">
        <f>SUM(B$2:B91)-IF(ISERROR(SUM(B$2:B86)),0,SUM(B$2:B86))</f>
        <v>72284</v>
      </c>
      <c r="F91" s="64">
        <f>SUM(C$2:C91)-IF(ISERROR(SUM(C$2:C86)),0,SUM(C$2:C86))</f>
        <v>23861</v>
      </c>
      <c r="G91" s="64">
        <f>SUM(D$2:D91)-IF(ISERROR(SUM(D$2:D86)),0,SUM(D$2:D86))</f>
        <v>3793</v>
      </c>
    </row>
    <row r="92" spans="1:7" x14ac:dyDescent="0.45">
      <c r="A92" s="62">
        <v>43946</v>
      </c>
      <c r="B92" s="63">
        <v>23115</v>
      </c>
      <c r="C92" s="63">
        <v>5386</v>
      </c>
      <c r="D92" s="63">
        <v>1005</v>
      </c>
      <c r="E92" s="64">
        <f>SUM(B$2:B92)-IF(ISERROR(SUM(B$2:B87)),0,SUM(B$2:B87))</f>
        <v>81293</v>
      </c>
      <c r="F92" s="64">
        <f>SUM(C$2:C92)-IF(ISERROR(SUM(C$2:C87)),0,SUM(C$2:C87))</f>
        <v>23397</v>
      </c>
      <c r="G92" s="64">
        <f>SUM(D$2:D92)-IF(ISERROR(SUM(D$2:D87)),0,SUM(D$2:D87))</f>
        <v>4300</v>
      </c>
    </row>
    <row r="93" spans="1:7" x14ac:dyDescent="0.45">
      <c r="A93" s="62">
        <v>43947</v>
      </c>
      <c r="B93" s="63">
        <v>25577</v>
      </c>
      <c r="C93" s="63">
        <v>4913</v>
      </c>
      <c r="D93" s="63">
        <v>843</v>
      </c>
      <c r="E93" s="64">
        <f>SUM(B$2:B93)-IF(ISERROR(SUM(B$2:B88)),0,SUM(B$2:B88))</f>
        <v>95244</v>
      </c>
      <c r="F93" s="64">
        <f>SUM(C$2:C93)-IF(ISERROR(SUM(C$2:C88)),0,SUM(C$2:C88))</f>
        <v>23634</v>
      </c>
      <c r="G93" s="64">
        <f>SUM(D$2:D93)-IF(ISERROR(SUM(D$2:D88)),0,SUM(D$2:D88))</f>
        <v>4584</v>
      </c>
    </row>
    <row r="94" spans="1:7" x14ac:dyDescent="0.45">
      <c r="A94" s="62">
        <v>43948</v>
      </c>
      <c r="B94" s="63">
        <v>26355</v>
      </c>
      <c r="C94" s="63">
        <v>4463</v>
      </c>
      <c r="D94" s="63">
        <v>420</v>
      </c>
      <c r="E94" s="64">
        <f>SUM(B$2:B94)-IF(ISERROR(SUM(B$2:B89)),0,SUM(B$2:B89))</f>
        <v>108077</v>
      </c>
      <c r="F94" s="64">
        <f>SUM(C$2:C94)-IF(ISERROR(SUM(C$2:C89)),0,SUM(C$2:C89))</f>
        <v>23796</v>
      </c>
      <c r="G94" s="64">
        <f>SUM(D$2:D94)-IF(ISERROR(SUM(D$2:D89)),0,SUM(D$2:D89))</f>
        <v>3832</v>
      </c>
    </row>
    <row r="95" spans="1:7" x14ac:dyDescent="0.45">
      <c r="A95" s="62">
        <v>43949</v>
      </c>
      <c r="B95" s="63">
        <v>29571</v>
      </c>
      <c r="C95" s="63">
        <v>4309</v>
      </c>
      <c r="D95" s="63">
        <v>338</v>
      </c>
      <c r="E95" s="64">
        <f>SUM(B$2:B95)-IF(ISERROR(SUM(B$2:B90)),0,SUM(B$2:B90))</f>
        <v>123019</v>
      </c>
      <c r="F95" s="64">
        <f>SUM(C$2:C95)-IF(ISERROR(SUM(C$2:C90)),0,SUM(C$2:C90))</f>
        <v>23654</v>
      </c>
      <c r="G95" s="64">
        <f>SUM(D$2:D95)-IF(ISERROR(SUM(D$2:D90)),0,SUM(D$2:D90))</f>
        <v>3333</v>
      </c>
    </row>
    <row r="96" spans="1:7" x14ac:dyDescent="0.45">
      <c r="A96" s="62">
        <v>43950</v>
      </c>
      <c r="B96" s="63">
        <v>33455</v>
      </c>
      <c r="C96" s="63">
        <v>3996</v>
      </c>
      <c r="D96" s="63">
        <v>909</v>
      </c>
      <c r="E96" s="64">
        <f>SUM(B$2:B96)-IF(ISERROR(SUM(B$2:B91)),0,SUM(B$2:B91))</f>
        <v>138073</v>
      </c>
      <c r="F96" s="64">
        <f>SUM(C$2:C96)-IF(ISERROR(SUM(C$2:C91)),0,SUM(C$2:C91))</f>
        <v>23067</v>
      </c>
      <c r="G96" s="64">
        <f>SUM(D$2:D96)-IF(ISERROR(SUM(D$2:D91)),0,SUM(D$2:D91))</f>
        <v>3515</v>
      </c>
    </row>
    <row r="97" spans="1:7" x14ac:dyDescent="0.45">
      <c r="A97" s="62">
        <v>43951</v>
      </c>
      <c r="B97" s="63">
        <v>54575</v>
      </c>
      <c r="C97" s="63">
        <v>4076</v>
      </c>
      <c r="D97" s="63">
        <v>795</v>
      </c>
      <c r="E97" s="64">
        <f>SUM(B$2:B97)-IF(ISERROR(SUM(B$2:B92)),0,SUM(B$2:B92))</f>
        <v>169533</v>
      </c>
      <c r="F97" s="64">
        <f>SUM(C$2:C97)-IF(ISERROR(SUM(C$2:C92)),0,SUM(C$2:C92))</f>
        <v>21757</v>
      </c>
      <c r="G97" s="64">
        <f>SUM(D$2:D97)-IF(ISERROR(SUM(D$2:D92)),0,SUM(D$2:D92))</f>
        <v>3305</v>
      </c>
    </row>
    <row r="98" spans="1:7" x14ac:dyDescent="0.45">
      <c r="A98" s="62">
        <v>43952</v>
      </c>
      <c r="B98" s="63">
        <v>73191</v>
      </c>
      <c r="C98" s="63">
        <v>6032</v>
      </c>
      <c r="D98" s="63">
        <v>674</v>
      </c>
      <c r="E98" s="64">
        <f>SUM(B$2:B98)-IF(ISERROR(SUM(B$2:B93)),0,SUM(B$2:B93))</f>
        <v>217147</v>
      </c>
      <c r="F98" s="64">
        <f>SUM(C$2:C98)-IF(ISERROR(SUM(C$2:C93)),0,SUM(C$2:C93))</f>
        <v>22876</v>
      </c>
      <c r="G98" s="64">
        <f>SUM(D$2:D98)-IF(ISERROR(SUM(D$2:D93)),0,SUM(D$2:D93))</f>
        <v>3136</v>
      </c>
    </row>
    <row r="99" spans="1:7" x14ac:dyDescent="0.45">
      <c r="A99" s="62">
        <v>43953</v>
      </c>
      <c r="B99" s="63">
        <v>63667</v>
      </c>
      <c r="C99" s="63">
        <v>6201</v>
      </c>
      <c r="D99" s="63">
        <v>739</v>
      </c>
      <c r="E99" s="64">
        <f>SUM(B$2:B99)-IF(ISERROR(SUM(B$2:B94)),0,SUM(B$2:B94))</f>
        <v>254459</v>
      </c>
      <c r="F99" s="64">
        <f>SUM(C$2:C99)-IF(ISERROR(SUM(C$2:C94)),0,SUM(C$2:C94))</f>
        <v>24614</v>
      </c>
      <c r="G99" s="64">
        <f>SUM(D$2:D99)-IF(ISERROR(SUM(D$2:D94)),0,SUM(D$2:D94))</f>
        <v>3455</v>
      </c>
    </row>
    <row r="100" spans="1:7" x14ac:dyDescent="0.45">
      <c r="A100" s="62">
        <v>43954</v>
      </c>
      <c r="B100" s="63">
        <v>56397</v>
      </c>
      <c r="C100" s="63">
        <v>4806</v>
      </c>
      <c r="D100" s="63">
        <v>621</v>
      </c>
      <c r="E100" s="64">
        <f>SUM(B$2:B100)-IF(ISERROR(SUM(B$2:B95)),0,SUM(B$2:B95))</f>
        <v>281285</v>
      </c>
      <c r="F100" s="64">
        <f>SUM(C$2:C100)-IF(ISERROR(SUM(C$2:C95)),0,SUM(C$2:C95))</f>
        <v>25111</v>
      </c>
      <c r="G100" s="64">
        <f>SUM(D$2:D100)-IF(ISERROR(SUM(D$2:D95)),0,SUM(D$2:D95))</f>
        <v>3738</v>
      </c>
    </row>
    <row r="101" spans="1:7" x14ac:dyDescent="0.45">
      <c r="A101" s="62">
        <v>43955</v>
      </c>
      <c r="B101" s="63">
        <v>62956</v>
      </c>
      <c r="C101" s="63">
        <v>4339</v>
      </c>
      <c r="D101" s="63">
        <v>315</v>
      </c>
      <c r="E101" s="64">
        <f>SUM(B$2:B101)-IF(ISERROR(SUM(B$2:B96)),0,SUM(B$2:B96))</f>
        <v>310786</v>
      </c>
      <c r="F101" s="64">
        <f>SUM(C$2:C101)-IF(ISERROR(SUM(C$2:C96)),0,SUM(C$2:C96))</f>
        <v>25454</v>
      </c>
      <c r="G101" s="64">
        <f>SUM(D$2:D101)-IF(ISERROR(SUM(D$2:D96)),0,SUM(D$2:D96))</f>
        <v>3144</v>
      </c>
    </row>
    <row r="102" spans="1:7" x14ac:dyDescent="0.45">
      <c r="A102" s="62">
        <v>43956</v>
      </c>
      <c r="B102" s="63">
        <v>69839</v>
      </c>
      <c r="C102" s="63">
        <v>3985</v>
      </c>
      <c r="D102" s="63">
        <v>288</v>
      </c>
      <c r="E102" s="64">
        <f>SUM(B$2:B102)-IF(ISERROR(SUM(B$2:B97)),0,SUM(B$2:B97))</f>
        <v>326050</v>
      </c>
      <c r="F102" s="64">
        <f>SUM(C$2:C102)-IF(ISERROR(SUM(C$2:C97)),0,SUM(C$2:C97))</f>
        <v>25363</v>
      </c>
      <c r="G102" s="64">
        <f>SUM(D$2:D102)-IF(ISERROR(SUM(D$2:D97)),0,SUM(D$2:D97))</f>
        <v>2637</v>
      </c>
    </row>
    <row r="103" spans="1:7" x14ac:dyDescent="0.45">
      <c r="A103" s="62">
        <v>43957</v>
      </c>
      <c r="B103" s="63">
        <v>57006</v>
      </c>
      <c r="C103" s="63">
        <v>4406</v>
      </c>
      <c r="D103" s="63">
        <v>693</v>
      </c>
      <c r="E103" s="64">
        <f>SUM(B$2:B103)-IF(ISERROR(SUM(B$2:B98)),0,SUM(B$2:B98))</f>
        <v>309865</v>
      </c>
      <c r="F103" s="64">
        <f>SUM(C$2:C103)-IF(ISERROR(SUM(C$2:C98)),0,SUM(C$2:C98))</f>
        <v>23737</v>
      </c>
      <c r="G103" s="64">
        <f>SUM(D$2:D103)-IF(ISERROR(SUM(D$2:D98)),0,SUM(D$2:D98))</f>
        <v>2656</v>
      </c>
    </row>
    <row r="104" spans="1:7" x14ac:dyDescent="0.45">
      <c r="A104" s="62">
        <v>43958</v>
      </c>
      <c r="B104" s="63">
        <v>65092</v>
      </c>
      <c r="C104" s="63">
        <v>6211</v>
      </c>
      <c r="D104" s="63">
        <v>649</v>
      </c>
      <c r="E104" s="64">
        <f>SUM(B$2:B104)-IF(ISERROR(SUM(B$2:B99)),0,SUM(B$2:B99))</f>
        <v>311290</v>
      </c>
      <c r="F104" s="64">
        <f>SUM(C$2:C104)-IF(ISERROR(SUM(C$2:C99)),0,SUM(C$2:C99))</f>
        <v>23747</v>
      </c>
      <c r="G104" s="64">
        <f>SUM(D$2:D104)-IF(ISERROR(SUM(D$2:D99)),0,SUM(D$2:D99))</f>
        <v>2566</v>
      </c>
    </row>
    <row r="105" spans="1:7" x14ac:dyDescent="0.45">
      <c r="A105" s="62">
        <v>43959</v>
      </c>
      <c r="B105" s="63">
        <v>67443</v>
      </c>
      <c r="C105" s="63">
        <v>5514</v>
      </c>
      <c r="D105" s="63">
        <v>539</v>
      </c>
      <c r="E105" s="64">
        <f>SUM(B$2:B105)-IF(ISERROR(SUM(B$2:B100)),0,SUM(B$2:B100))</f>
        <v>322336</v>
      </c>
      <c r="F105" s="64">
        <f>SUM(C$2:C105)-IF(ISERROR(SUM(C$2:C100)),0,SUM(C$2:C100))</f>
        <v>24455</v>
      </c>
      <c r="G105" s="64">
        <f>SUM(D$2:D105)-IF(ISERROR(SUM(D$2:D100)),0,SUM(D$2:D100))</f>
        <v>2484</v>
      </c>
    </row>
    <row r="106" spans="1:7" x14ac:dyDescent="0.45">
      <c r="A106" s="62">
        <v>43960</v>
      </c>
      <c r="B106" s="63">
        <v>63339</v>
      </c>
      <c r="C106" s="63">
        <v>4649</v>
      </c>
      <c r="D106" s="63">
        <v>626</v>
      </c>
      <c r="E106" s="64">
        <f>SUM(B$2:B106)-IF(ISERROR(SUM(B$2:B101)),0,SUM(B$2:B101))</f>
        <v>322719</v>
      </c>
      <c r="F106" s="64">
        <f>SUM(C$2:C106)-IF(ISERROR(SUM(C$2:C101)),0,SUM(C$2:C101))</f>
        <v>24765</v>
      </c>
      <c r="G106" s="64">
        <f>SUM(D$2:D106)-IF(ISERROR(SUM(D$2:D101)),0,SUM(D$2:D101))</f>
        <v>2795</v>
      </c>
    </row>
    <row r="107" spans="1:7" x14ac:dyDescent="0.45">
      <c r="A107" s="62">
        <v>43961</v>
      </c>
      <c r="B107" s="63">
        <v>64362</v>
      </c>
      <c r="C107" s="63">
        <v>3896</v>
      </c>
      <c r="D107" s="63">
        <v>346</v>
      </c>
      <c r="E107" s="64">
        <f>SUM(B$2:B107)-IF(ISERROR(SUM(B$2:B102)),0,SUM(B$2:B102))</f>
        <v>317242</v>
      </c>
      <c r="F107" s="64">
        <f>SUM(C$2:C107)-IF(ISERROR(SUM(C$2:C102)),0,SUM(C$2:C102))</f>
        <v>24676</v>
      </c>
      <c r="G107" s="64">
        <f>SUM(D$2:D107)-IF(ISERROR(SUM(D$2:D102)),0,SUM(D$2:D102))</f>
        <v>2853</v>
      </c>
    </row>
    <row r="108" spans="1:7" x14ac:dyDescent="0.45">
      <c r="A108" s="62">
        <v>43962</v>
      </c>
      <c r="B108" s="63">
        <v>65337</v>
      </c>
      <c r="C108" s="63">
        <v>3923</v>
      </c>
      <c r="D108" s="63">
        <v>268</v>
      </c>
      <c r="E108" s="64">
        <f>SUM(B$2:B108)-IF(ISERROR(SUM(B$2:B103)),0,SUM(B$2:B103))</f>
        <v>325573</v>
      </c>
      <c r="F108" s="64">
        <f>SUM(C$2:C108)-IF(ISERROR(SUM(C$2:C103)),0,SUM(C$2:C103))</f>
        <v>24193</v>
      </c>
      <c r="G108" s="64">
        <f>SUM(D$2:D108)-IF(ISERROR(SUM(D$2:D103)),0,SUM(D$2:D103))</f>
        <v>2428</v>
      </c>
    </row>
    <row r="109" spans="1:7" x14ac:dyDescent="0.45">
      <c r="A109" s="62">
        <v>43963</v>
      </c>
      <c r="B109" s="63">
        <v>60410</v>
      </c>
      <c r="C109" s="63">
        <v>3877</v>
      </c>
      <c r="D109" s="63">
        <v>210</v>
      </c>
      <c r="E109" s="64">
        <f>SUM(B$2:B109)-IF(ISERROR(SUM(B$2:B104)),0,SUM(B$2:B104))</f>
        <v>320891</v>
      </c>
      <c r="F109" s="64">
        <f>SUM(C$2:C109)-IF(ISERROR(SUM(C$2:C104)),0,SUM(C$2:C104))</f>
        <v>21859</v>
      </c>
      <c r="G109" s="64">
        <f>SUM(D$2:D109)-IF(ISERROR(SUM(D$2:D104)),0,SUM(D$2:D104))</f>
        <v>1989</v>
      </c>
    </row>
    <row r="110" spans="1:7" x14ac:dyDescent="0.45">
      <c r="A110" s="62">
        <v>43964</v>
      </c>
      <c r="B110" s="63">
        <v>61741</v>
      </c>
      <c r="C110" s="63">
        <v>3403</v>
      </c>
      <c r="D110" s="63">
        <v>627</v>
      </c>
      <c r="E110" s="64">
        <f>SUM(B$2:B110)-IF(ISERROR(SUM(B$2:B105)),0,SUM(B$2:B105))</f>
        <v>315189</v>
      </c>
      <c r="F110" s="64">
        <f>SUM(C$2:C110)-IF(ISERROR(SUM(C$2:C105)),0,SUM(C$2:C105))</f>
        <v>19748</v>
      </c>
      <c r="G110" s="64">
        <f>SUM(D$2:D110)-IF(ISERROR(SUM(D$2:D105)),0,SUM(D$2:D105))</f>
        <v>2077</v>
      </c>
    </row>
    <row r="111" spans="1:7" x14ac:dyDescent="0.45">
      <c r="A111" s="62">
        <v>43965</v>
      </c>
      <c r="B111" s="63">
        <v>71644</v>
      </c>
      <c r="C111" s="63">
        <v>3242</v>
      </c>
      <c r="D111" s="63">
        <v>494</v>
      </c>
      <c r="E111" s="64">
        <f>SUM(B$2:B111)-IF(ISERROR(SUM(B$2:B106)),0,SUM(B$2:B106))</f>
        <v>323494</v>
      </c>
      <c r="F111" s="64">
        <f>SUM(C$2:C111)-IF(ISERROR(SUM(C$2:C106)),0,SUM(C$2:C106))</f>
        <v>18341</v>
      </c>
      <c r="G111" s="64">
        <f>SUM(D$2:D111)-IF(ISERROR(SUM(D$2:D106)),0,SUM(D$2:D106))</f>
        <v>1945</v>
      </c>
    </row>
    <row r="112" spans="1:7" x14ac:dyDescent="0.45">
      <c r="A112" s="62">
        <v>43966</v>
      </c>
      <c r="B112" s="63">
        <v>69590</v>
      </c>
      <c r="C112" s="63">
        <v>3446</v>
      </c>
      <c r="D112" s="63">
        <v>428</v>
      </c>
      <c r="E112" s="64">
        <f>SUM(B$2:B112)-IF(ISERROR(SUM(B$2:B107)),0,SUM(B$2:B107))</f>
        <v>328722</v>
      </c>
      <c r="F112" s="64">
        <f>SUM(C$2:C112)-IF(ISERROR(SUM(C$2:C107)),0,SUM(C$2:C107))</f>
        <v>17891</v>
      </c>
      <c r="G112" s="64">
        <f>SUM(D$2:D112)-IF(ISERROR(SUM(D$2:D107)),0,SUM(D$2:D107))</f>
        <v>2027</v>
      </c>
    </row>
    <row r="113" spans="1:7" x14ac:dyDescent="0.45">
      <c r="A113" s="62">
        <v>43967</v>
      </c>
      <c r="B113" s="63">
        <v>78537</v>
      </c>
      <c r="C113" s="63">
        <v>3560</v>
      </c>
      <c r="D113" s="63">
        <v>384</v>
      </c>
      <c r="E113" s="64">
        <f>SUM(B$2:B113)-IF(ISERROR(SUM(B$2:B108)),0,SUM(B$2:B108))</f>
        <v>341922</v>
      </c>
      <c r="F113" s="64">
        <f>SUM(C$2:C113)-IF(ISERROR(SUM(C$2:C108)),0,SUM(C$2:C108))</f>
        <v>17528</v>
      </c>
      <c r="G113" s="64">
        <f>SUM(D$2:D113)-IF(ISERROR(SUM(D$2:D108)),0,SUM(D$2:D108))</f>
        <v>2143</v>
      </c>
    </row>
    <row r="114" spans="1:7" x14ac:dyDescent="0.45">
      <c r="A114" s="62">
        <v>43968</v>
      </c>
      <c r="B114" s="63">
        <v>76684</v>
      </c>
      <c r="C114" s="63">
        <v>3450</v>
      </c>
      <c r="D114" s="63">
        <v>468</v>
      </c>
      <c r="E114" s="64">
        <f>SUM(B$2:B114)-IF(ISERROR(SUM(B$2:B109)),0,SUM(B$2:B109))</f>
        <v>358196</v>
      </c>
      <c r="F114" s="64">
        <f>SUM(C$2:C114)-IF(ISERROR(SUM(C$2:C109)),0,SUM(C$2:C109))</f>
        <v>17101</v>
      </c>
      <c r="G114" s="64">
        <f>SUM(D$2:D114)-IF(ISERROR(SUM(D$2:D109)),0,SUM(D$2:D109))</f>
        <v>2401</v>
      </c>
    </row>
    <row r="115" spans="1:7" x14ac:dyDescent="0.45">
      <c r="A115" s="62">
        <v>43969</v>
      </c>
      <c r="B115" s="63">
        <v>67409</v>
      </c>
      <c r="C115" s="63">
        <v>3534</v>
      </c>
      <c r="D115" s="63">
        <v>170</v>
      </c>
      <c r="E115" s="64">
        <f>SUM(B$2:B115)-IF(ISERROR(SUM(B$2:B110)),0,SUM(B$2:B110))</f>
        <v>363864</v>
      </c>
      <c r="F115" s="64">
        <f>SUM(C$2:C115)-IF(ISERROR(SUM(C$2:C110)),0,SUM(C$2:C110))</f>
        <v>17232</v>
      </c>
      <c r="G115" s="64">
        <f>SUM(D$2:D115)-IF(ISERROR(SUM(D$2:D110)),0,SUM(D$2:D110))</f>
        <v>1944</v>
      </c>
    </row>
    <row r="116" spans="1:7" x14ac:dyDescent="0.45">
      <c r="A116" s="62">
        <v>43970</v>
      </c>
      <c r="B116" s="63">
        <v>73237</v>
      </c>
      <c r="C116" s="63">
        <v>2711</v>
      </c>
      <c r="D116" s="63">
        <v>160</v>
      </c>
      <c r="E116" s="64">
        <f>SUM(B$2:B116)-IF(ISERROR(SUM(B$2:B111)),0,SUM(B$2:B111))</f>
        <v>365457</v>
      </c>
      <c r="F116" s="64">
        <f>SUM(C$2:C116)-IF(ISERROR(SUM(C$2:C111)),0,SUM(C$2:C111))</f>
        <v>16701</v>
      </c>
      <c r="G116" s="64">
        <f>SUM(D$2:D116)-IF(ISERROR(SUM(D$2:D111)),0,SUM(D$2:D111))</f>
        <v>1610</v>
      </c>
    </row>
    <row r="117" spans="1:7" x14ac:dyDescent="0.45">
      <c r="A117" s="62">
        <v>43971</v>
      </c>
      <c r="B117" s="63">
        <v>63421</v>
      </c>
      <c r="C117" s="63">
        <v>2412</v>
      </c>
      <c r="D117" s="63">
        <v>545</v>
      </c>
      <c r="E117" s="64">
        <f>SUM(B$2:B117)-IF(ISERROR(SUM(B$2:B112)),0,SUM(B$2:B112))</f>
        <v>359288</v>
      </c>
      <c r="F117" s="64">
        <f>SUM(C$2:C117)-IF(ISERROR(SUM(C$2:C112)),0,SUM(C$2:C112))</f>
        <v>15667</v>
      </c>
      <c r="G117" s="64">
        <f>SUM(D$2:D117)-IF(ISERROR(SUM(D$2:D112)),0,SUM(D$2:D112))</f>
        <v>1727</v>
      </c>
    </row>
    <row r="118" spans="1:7" x14ac:dyDescent="0.45">
      <c r="A118" s="62">
        <v>43972</v>
      </c>
      <c r="B118" s="63">
        <v>84971</v>
      </c>
      <c r="C118" s="63">
        <v>-525</v>
      </c>
      <c r="D118" s="63">
        <v>363</v>
      </c>
      <c r="E118" s="64">
        <f>SUM(B$2:B118)-IF(ISERROR(SUM(B$2:B113)),0,SUM(B$2:B113))</f>
        <v>365722</v>
      </c>
      <c r="F118" s="64">
        <f>SUM(C$2:C118)-IF(ISERROR(SUM(C$2:C113)),0,SUM(C$2:C113))</f>
        <v>11582</v>
      </c>
      <c r="G118" s="64">
        <f>SUM(D$2:D118)-IF(ISERROR(SUM(D$2:D113)),0,SUM(D$2:D113))</f>
        <v>1706</v>
      </c>
    </row>
    <row r="119" spans="1:7" x14ac:dyDescent="0.45">
      <c r="A119" s="62">
        <v>43973</v>
      </c>
      <c r="B119" s="63">
        <v>67349</v>
      </c>
      <c r="C119" s="63">
        <v>2615</v>
      </c>
      <c r="D119" s="63">
        <v>338</v>
      </c>
      <c r="E119" s="64">
        <f>SUM(B$2:B119)-IF(ISERROR(SUM(B$2:B114)),0,SUM(B$2:B114))</f>
        <v>356387</v>
      </c>
      <c r="F119" s="64">
        <f>SUM(C$2:C119)-IF(ISERROR(SUM(C$2:C114)),0,SUM(C$2:C114))</f>
        <v>10747</v>
      </c>
      <c r="G119" s="64">
        <f>SUM(D$2:D119)-IF(ISERROR(SUM(D$2:D114)),0,SUM(D$2:D114))</f>
        <v>1576</v>
      </c>
    </row>
    <row r="120" spans="1:7" x14ac:dyDescent="0.45">
      <c r="A120" s="62">
        <v>43974</v>
      </c>
      <c r="B120" s="63">
        <v>66970</v>
      </c>
      <c r="C120" s="63">
        <v>3287</v>
      </c>
      <c r="D120" s="63">
        <v>351</v>
      </c>
      <c r="E120" s="64">
        <f>SUM(B$2:B120)-IF(ISERROR(SUM(B$2:B115)),0,SUM(B$2:B115))</f>
        <v>355948</v>
      </c>
      <c r="F120" s="64">
        <f>SUM(C$2:C120)-IF(ISERROR(SUM(C$2:C115)),0,SUM(C$2:C115))</f>
        <v>10500</v>
      </c>
      <c r="G120" s="64">
        <f>SUM(D$2:D120)-IF(ISERROR(SUM(D$2:D115)),0,SUM(D$2:D115))</f>
        <v>1757</v>
      </c>
    </row>
    <row r="121" spans="1:7" x14ac:dyDescent="0.45">
      <c r="A121" s="62">
        <v>43975</v>
      </c>
      <c r="B121" s="63">
        <v>35711</v>
      </c>
      <c r="C121" s="63">
        <v>2959</v>
      </c>
      <c r="D121" s="63">
        <v>282</v>
      </c>
      <c r="E121" s="64">
        <f>SUM(B$2:B121)-IF(ISERROR(SUM(B$2:B116)),0,SUM(B$2:B116))</f>
        <v>318422</v>
      </c>
      <c r="F121" s="64">
        <f>SUM(C$2:C121)-IF(ISERROR(SUM(C$2:C116)),0,SUM(C$2:C116))</f>
        <v>10748</v>
      </c>
      <c r="G121" s="64">
        <f>SUM(D$2:D121)-IF(ISERROR(SUM(D$2:D116)),0,SUM(D$2:D116))</f>
        <v>1879</v>
      </c>
    </row>
    <row r="122" spans="1:7" x14ac:dyDescent="0.45">
      <c r="A122" s="62">
        <v>43976</v>
      </c>
      <c r="B122" s="63">
        <v>55914</v>
      </c>
      <c r="C122" s="63">
        <v>2405</v>
      </c>
      <c r="D122" s="63">
        <v>118</v>
      </c>
      <c r="E122" s="64">
        <f>SUM(B$2:B122)-IF(ISERROR(SUM(B$2:B117)),0,SUM(B$2:B117))</f>
        <v>310915</v>
      </c>
      <c r="F122" s="64">
        <f>SUM(C$2:C122)-IF(ISERROR(SUM(C$2:C117)),0,SUM(C$2:C117))</f>
        <v>10741</v>
      </c>
      <c r="G122" s="64">
        <f>SUM(D$2:D122)-IF(ISERROR(SUM(D$2:D117)),0,SUM(D$2:D117))</f>
        <v>1452</v>
      </c>
    </row>
    <row r="123" spans="1:7" x14ac:dyDescent="0.45">
      <c r="A123" s="62">
        <v>43977</v>
      </c>
      <c r="B123" s="63">
        <v>46193</v>
      </c>
      <c r="C123" s="63">
        <v>1625</v>
      </c>
      <c r="D123" s="63">
        <v>121</v>
      </c>
      <c r="E123" s="64">
        <f>SUM(B$2:B123)-IF(ISERROR(SUM(B$2:B118)),0,SUM(B$2:B118))</f>
        <v>272137</v>
      </c>
      <c r="F123" s="64">
        <f>SUM(C$2:C123)-IF(ISERROR(SUM(C$2:C118)),0,SUM(C$2:C118))</f>
        <v>12891</v>
      </c>
      <c r="G123" s="64">
        <f>SUM(D$2:D123)-IF(ISERROR(SUM(D$2:D118)),0,SUM(D$2:D118))</f>
        <v>1210</v>
      </c>
    </row>
    <row r="124" spans="1:7" x14ac:dyDescent="0.45">
      <c r="A124" s="62">
        <v>43978</v>
      </c>
      <c r="B124" s="63">
        <v>62285</v>
      </c>
      <c r="C124" s="63">
        <v>4043</v>
      </c>
      <c r="D124" s="63">
        <v>134</v>
      </c>
      <c r="E124" s="64">
        <f>SUM(B$2:B124)-IF(ISERROR(SUM(B$2:B119)),0,SUM(B$2:B119))</f>
        <v>267073</v>
      </c>
      <c r="F124" s="64">
        <f>SUM(C$2:C124)-IF(ISERROR(SUM(C$2:C119)),0,SUM(C$2:C119))</f>
        <v>14319</v>
      </c>
      <c r="G124" s="64">
        <f>SUM(D$2:D124)-IF(ISERROR(SUM(D$2:D119)),0,SUM(D$2:D119))</f>
        <v>1006</v>
      </c>
    </row>
    <row r="125" spans="1:7" x14ac:dyDescent="0.45">
      <c r="A125" s="62">
        <v>43979</v>
      </c>
      <c r="B125" s="63">
        <v>74326</v>
      </c>
      <c r="C125" s="63">
        <v>2013</v>
      </c>
      <c r="D125" s="63">
        <v>412</v>
      </c>
      <c r="E125" s="64">
        <f>SUM(B$2:B125)-IF(ISERROR(SUM(B$2:B120)),0,SUM(B$2:B120))</f>
        <v>274429</v>
      </c>
      <c r="F125" s="64">
        <f>SUM(C$2:C125)-IF(ISERROR(SUM(C$2:C120)),0,SUM(C$2:C120))</f>
        <v>13045</v>
      </c>
      <c r="G125" s="64">
        <f>SUM(D$2:D125)-IF(ISERROR(SUM(D$2:D120)),0,SUM(D$2:D120))</f>
        <v>1067</v>
      </c>
    </row>
    <row r="126" spans="1:7" x14ac:dyDescent="0.45">
      <c r="A126" s="62">
        <v>43980</v>
      </c>
      <c r="B126" s="63">
        <v>78044</v>
      </c>
      <c r="C126" s="63">
        <v>1887</v>
      </c>
      <c r="D126" s="63">
        <v>377</v>
      </c>
      <c r="E126" s="64">
        <f>SUM(B$2:B126)-IF(ISERROR(SUM(B$2:B121)),0,SUM(B$2:B121))</f>
        <v>316762</v>
      </c>
      <c r="F126" s="64">
        <f>SUM(C$2:C126)-IF(ISERROR(SUM(C$2:C121)),0,SUM(C$2:C121))</f>
        <v>11973</v>
      </c>
      <c r="G126" s="64">
        <f>SUM(D$2:D126)-IF(ISERROR(SUM(D$2:D121)),0,SUM(D$2:D121))</f>
        <v>1162</v>
      </c>
    </row>
    <row r="127" spans="1:7" x14ac:dyDescent="0.45">
      <c r="A127" s="62">
        <v>43981</v>
      </c>
      <c r="B127" s="63">
        <v>70412</v>
      </c>
      <c r="C127" s="63">
        <v>2095</v>
      </c>
      <c r="D127" s="63">
        <v>324</v>
      </c>
      <c r="E127" s="64">
        <f>SUM(B$2:B127)-IF(ISERROR(SUM(B$2:B122)),0,SUM(B$2:B122))</f>
        <v>331260</v>
      </c>
      <c r="F127" s="64">
        <f>SUM(C$2:C127)-IF(ISERROR(SUM(C$2:C122)),0,SUM(C$2:C122))</f>
        <v>11663</v>
      </c>
      <c r="G127" s="64">
        <f>SUM(D$2:D127)-IF(ISERROR(SUM(D$2:D122)),0,SUM(D$2:D122))</f>
        <v>1368</v>
      </c>
    </row>
    <row r="128" spans="1:7" x14ac:dyDescent="0.45">
      <c r="A128" s="62">
        <v>43982</v>
      </c>
      <c r="B128" s="63">
        <v>56934</v>
      </c>
      <c r="C128" s="63">
        <v>1604</v>
      </c>
      <c r="D128" s="63">
        <v>215</v>
      </c>
      <c r="E128" s="64">
        <f>SUM(B$2:B128)-IF(ISERROR(SUM(B$2:B123)),0,SUM(B$2:B123))</f>
        <v>342001</v>
      </c>
      <c r="F128" s="64">
        <f>SUM(C$2:C128)-IF(ISERROR(SUM(C$2:C123)),0,SUM(C$2:C123))</f>
        <v>11642</v>
      </c>
      <c r="G128" s="64">
        <f>SUM(D$2:D128)-IF(ISERROR(SUM(D$2:D123)),0,SUM(D$2:D123))</f>
        <v>1462</v>
      </c>
    </row>
    <row r="129" spans="1:7" x14ac:dyDescent="0.45">
      <c r="A129" s="62">
        <v>43983</v>
      </c>
      <c r="B129" s="63">
        <v>54845</v>
      </c>
      <c r="C129" s="63">
        <v>1936</v>
      </c>
      <c r="D129" s="63">
        <v>113</v>
      </c>
      <c r="E129" s="64">
        <f>SUM(B$2:B129)-IF(ISERROR(SUM(B$2:B124)),0,SUM(B$2:B124))</f>
        <v>334561</v>
      </c>
      <c r="F129" s="64">
        <f>SUM(C$2:C129)-IF(ISERROR(SUM(C$2:C124)),0,SUM(C$2:C124))</f>
        <v>9535</v>
      </c>
      <c r="G129" s="64">
        <f>SUM(D$2:D129)-IF(ISERROR(SUM(D$2:D124)),0,SUM(D$2:D124))</f>
        <v>1441</v>
      </c>
    </row>
    <row r="130" spans="1:7" x14ac:dyDescent="0.45">
      <c r="A130" s="62">
        <v>43984</v>
      </c>
      <c r="B130" s="63">
        <v>72689</v>
      </c>
      <c r="C130" s="63">
        <v>1570</v>
      </c>
      <c r="D130" s="63">
        <v>556</v>
      </c>
      <c r="E130" s="64">
        <f>SUM(B$2:B130)-IF(ISERROR(SUM(B$2:B125)),0,SUM(B$2:B125))</f>
        <v>332924</v>
      </c>
      <c r="F130" s="64">
        <f>SUM(C$2:C130)-IF(ISERROR(SUM(C$2:C125)),0,SUM(C$2:C125))</f>
        <v>9092</v>
      </c>
      <c r="G130" s="64">
        <f>SUM(D$2:D130)-IF(ISERROR(SUM(D$2:D125)),0,SUM(D$2:D125))</f>
        <v>1585</v>
      </c>
    </row>
    <row r="131" spans="1:7" x14ac:dyDescent="0.45">
      <c r="A131" s="62">
        <v>43985</v>
      </c>
      <c r="B131" s="63">
        <v>79845</v>
      </c>
      <c r="C131" s="63">
        <v>1653</v>
      </c>
      <c r="D131" s="63">
        <v>324</v>
      </c>
      <c r="E131" s="64">
        <f>SUM(B$2:B131)-IF(ISERROR(SUM(B$2:B126)),0,SUM(B$2:B126))</f>
        <v>334725</v>
      </c>
      <c r="F131" s="64">
        <f>SUM(C$2:C131)-IF(ISERROR(SUM(C$2:C126)),0,SUM(C$2:C126))</f>
        <v>8858</v>
      </c>
      <c r="G131" s="64">
        <f>SUM(D$2:D131)-IF(ISERROR(SUM(D$2:D126)),0,SUM(D$2:D126))</f>
        <v>1532</v>
      </c>
    </row>
    <row r="132" spans="1:7" x14ac:dyDescent="0.45">
      <c r="A132" s="62">
        <v>43986</v>
      </c>
      <c r="B132" s="63">
        <v>76608</v>
      </c>
      <c r="C132" s="63">
        <v>1871</v>
      </c>
      <c r="D132" s="63">
        <v>359</v>
      </c>
      <c r="E132" s="64">
        <f>SUM(B$2:B132)-IF(ISERROR(SUM(B$2:B127)),0,SUM(B$2:B127))</f>
        <v>340921</v>
      </c>
      <c r="F132" s="64">
        <f>SUM(C$2:C132)-IF(ISERROR(SUM(C$2:C127)),0,SUM(C$2:C127))</f>
        <v>8634</v>
      </c>
      <c r="G132" s="64">
        <f>SUM(D$2:D132)-IF(ISERROR(SUM(D$2:D127)),0,SUM(D$2:D127))</f>
        <v>1567</v>
      </c>
    </row>
    <row r="133" spans="1:7" x14ac:dyDescent="0.45">
      <c r="A133" s="62">
        <v>43987</v>
      </c>
      <c r="B133" s="63">
        <v>82389</v>
      </c>
      <c r="C133" s="63">
        <v>1805</v>
      </c>
      <c r="D133" s="63">
        <v>176</v>
      </c>
      <c r="E133" s="64">
        <f>SUM(B$2:B133)-IF(ISERROR(SUM(B$2:B128)),0,SUM(B$2:B128))</f>
        <v>366376</v>
      </c>
      <c r="F133" s="64">
        <f>SUM(C$2:C133)-IF(ISERROR(SUM(C$2:C128)),0,SUM(C$2:C128))</f>
        <v>8835</v>
      </c>
      <c r="G133" s="64">
        <f>SUM(D$2:D133)-IF(ISERROR(SUM(D$2:D128)),0,SUM(D$2:D128))</f>
        <v>1528</v>
      </c>
    </row>
    <row r="134" spans="1:7" x14ac:dyDescent="0.45">
      <c r="A134" s="62">
        <v>43988</v>
      </c>
      <c r="B134" s="63">
        <v>76594</v>
      </c>
      <c r="C134" s="63">
        <v>1650</v>
      </c>
      <c r="D134" s="63">
        <v>357</v>
      </c>
      <c r="E134" s="64">
        <f>SUM(B$2:B134)-IF(ISERROR(SUM(B$2:B129)),0,SUM(B$2:B129))</f>
        <v>388125</v>
      </c>
      <c r="F134" s="64">
        <f>SUM(C$2:C134)-IF(ISERROR(SUM(C$2:C129)),0,SUM(C$2:C129))</f>
        <v>8549</v>
      </c>
      <c r="G134" s="64">
        <f>SUM(D$2:D134)-IF(ISERROR(SUM(D$2:D129)),0,SUM(D$2:D129))</f>
        <v>1772</v>
      </c>
    </row>
    <row r="135" spans="1:7" x14ac:dyDescent="0.45">
      <c r="A135" s="62">
        <v>43989</v>
      </c>
      <c r="B135" s="63">
        <v>70074</v>
      </c>
      <c r="C135" s="63">
        <v>1557</v>
      </c>
      <c r="D135" s="63">
        <v>204</v>
      </c>
      <c r="E135" s="64">
        <f>SUM(B$2:B135)-IF(ISERROR(SUM(B$2:B130)),0,SUM(B$2:B130))</f>
        <v>385510</v>
      </c>
      <c r="F135" s="64">
        <f>SUM(C$2:C135)-IF(ISERROR(SUM(C$2:C130)),0,SUM(C$2:C130))</f>
        <v>8536</v>
      </c>
      <c r="G135" s="64">
        <f>SUM(D$2:D135)-IF(ISERROR(SUM(D$2:D130)),0,SUM(D$2:D130))</f>
        <v>1420</v>
      </c>
    </row>
    <row r="136" spans="1:7" x14ac:dyDescent="0.45">
      <c r="A136" s="62">
        <v>43990</v>
      </c>
      <c r="B136" s="63">
        <v>45981</v>
      </c>
      <c r="C136" s="63">
        <v>1326</v>
      </c>
      <c r="D136" s="63">
        <v>77</v>
      </c>
      <c r="E136" s="64">
        <f>SUM(B$2:B136)-IF(ISERROR(SUM(B$2:B131)),0,SUM(B$2:B131))</f>
        <v>351646</v>
      </c>
      <c r="F136" s="64">
        <f>SUM(C$2:C136)-IF(ISERROR(SUM(C$2:C131)),0,SUM(C$2:C131))</f>
        <v>8209</v>
      </c>
      <c r="G136" s="64">
        <f>SUM(D$2:D136)-IF(ISERROR(SUM(D$2:D131)),0,SUM(D$2:D131))</f>
        <v>1173</v>
      </c>
    </row>
    <row r="137" spans="1:7" x14ac:dyDescent="0.45">
      <c r="A137" s="62">
        <v>43991</v>
      </c>
      <c r="B137" s="63">
        <v>76812</v>
      </c>
      <c r="C137" s="63">
        <v>1205</v>
      </c>
      <c r="D137" s="63">
        <v>55</v>
      </c>
      <c r="E137" s="64">
        <f>SUM(B$2:B137)-IF(ISERROR(SUM(B$2:B132)),0,SUM(B$2:B132))</f>
        <v>351850</v>
      </c>
      <c r="F137" s="64">
        <f>SUM(C$2:C137)-IF(ISERROR(SUM(C$2:C132)),0,SUM(C$2:C132))</f>
        <v>7543</v>
      </c>
      <c r="G137" s="64">
        <f>SUM(D$2:D137)-IF(ISERROR(SUM(D$2:D132)),0,SUM(D$2:D132))</f>
        <v>869</v>
      </c>
    </row>
    <row r="138" spans="1:7" x14ac:dyDescent="0.45">
      <c r="A138" s="62">
        <v>43992</v>
      </c>
      <c r="B138" s="63">
        <v>79982</v>
      </c>
      <c r="C138" s="63">
        <v>1741</v>
      </c>
      <c r="D138" s="63">
        <v>286</v>
      </c>
      <c r="E138" s="64">
        <f>SUM(B$2:B138)-IF(ISERROR(SUM(B$2:B133)),0,SUM(B$2:B133))</f>
        <v>349443</v>
      </c>
      <c r="F138" s="64">
        <f>SUM(C$2:C138)-IF(ISERROR(SUM(C$2:C133)),0,SUM(C$2:C133))</f>
        <v>7479</v>
      </c>
      <c r="G138" s="64">
        <f>SUM(D$2:D138)-IF(ISERROR(SUM(D$2:D133)),0,SUM(D$2:D133))</f>
        <v>979</v>
      </c>
    </row>
    <row r="139" spans="1:7" x14ac:dyDescent="0.45">
      <c r="A139" s="62">
        <v>43993</v>
      </c>
      <c r="B139" s="63">
        <v>82464</v>
      </c>
      <c r="C139" s="63">
        <v>1003</v>
      </c>
      <c r="D139" s="63">
        <v>245</v>
      </c>
      <c r="E139" s="64">
        <f>SUM(B$2:B139)-IF(ISERROR(SUM(B$2:B134)),0,SUM(B$2:B134))</f>
        <v>355313</v>
      </c>
      <c r="F139" s="64">
        <f>SUM(C$2:C139)-IF(ISERROR(SUM(C$2:C134)),0,SUM(C$2:C134))</f>
        <v>6832</v>
      </c>
      <c r="G139" s="64">
        <f>SUM(D$2:D139)-IF(ISERROR(SUM(D$2:D134)),0,SUM(D$2:D134))</f>
        <v>867</v>
      </c>
    </row>
    <row r="140" spans="1:7" x14ac:dyDescent="0.45">
      <c r="A140" s="62">
        <v>43994</v>
      </c>
      <c r="B140" s="74">
        <v>76146</v>
      </c>
      <c r="C140" s="74">
        <v>1266</v>
      </c>
      <c r="D140" s="74">
        <v>151</v>
      </c>
      <c r="E140" s="64">
        <f>SUM(B$2:B140)-IF(ISERROR(SUM(B$2:B135)),0,SUM(B$2:B135))</f>
        <v>361385</v>
      </c>
      <c r="F140" s="64">
        <f>SUM(C$2:C140)-IF(ISERROR(SUM(C$2:C135)),0,SUM(C$2:C135))</f>
        <v>6541</v>
      </c>
      <c r="G140" s="64">
        <f>SUM(D$2:D140)-IF(ISERROR(SUM(D$2:D135)),0,SUM(D$2:D135))</f>
        <v>814</v>
      </c>
    </row>
    <row r="141" spans="1:7" x14ac:dyDescent="0.45">
      <c r="A141" s="62">
        <v>43995</v>
      </c>
      <c r="B141" s="74">
        <v>75247</v>
      </c>
      <c r="C141" s="74">
        <v>1541</v>
      </c>
      <c r="D141" s="74">
        <v>202</v>
      </c>
      <c r="E141" s="64">
        <f>SUM(B$2:B141)-IF(ISERROR(SUM(B$2:B136)),0,SUM(B$2:B136))</f>
        <v>390651</v>
      </c>
      <c r="F141" s="64">
        <f>SUM(C$2:C141)-IF(ISERROR(SUM(C$2:C136)),0,SUM(C$2:C136))</f>
        <v>6756</v>
      </c>
      <c r="G141" s="64">
        <f>SUM(D$2:D141)-IF(ISERROR(SUM(D$2:D136)),0,SUM(D$2:D136))</f>
        <v>939</v>
      </c>
    </row>
    <row r="142" spans="1:7" x14ac:dyDescent="0.45">
      <c r="A142" s="62">
        <v>43996</v>
      </c>
      <c r="B142" s="74">
        <v>47457</v>
      </c>
      <c r="C142" s="74">
        <v>1425</v>
      </c>
      <c r="D142" s="74">
        <v>181</v>
      </c>
      <c r="E142" s="64">
        <f>SUM(B$2:B142)-IF(ISERROR(SUM(B$2:B137)),0,SUM(B$2:B137))</f>
        <v>361296</v>
      </c>
      <c r="F142" s="64">
        <f>SUM(C$2:C142)-IF(ISERROR(SUM(C$2:C137)),0,SUM(C$2:C137))</f>
        <v>6976</v>
      </c>
      <c r="G142" s="64">
        <f>SUM(D$2:D142)-IF(ISERROR(SUM(D$2:D137)),0,SUM(D$2:D137))</f>
        <v>1065</v>
      </c>
    </row>
    <row r="143" spans="1:7" x14ac:dyDescent="0.45">
      <c r="A143" s="62">
        <v>43997</v>
      </c>
      <c r="B143" s="74">
        <v>51777</v>
      </c>
      <c r="C143" s="74">
        <v>1514</v>
      </c>
      <c r="D143" s="74">
        <v>36</v>
      </c>
      <c r="E143" s="64">
        <f>SUM(B$2:B143)-IF(ISERROR(SUM(B$2:B138)),0,SUM(B$2:B138))</f>
        <v>333091</v>
      </c>
      <c r="F143" s="64">
        <f>SUM(C$2:C143)-IF(ISERROR(SUM(C$2:C138)),0,SUM(C$2:C138))</f>
        <v>6749</v>
      </c>
      <c r="G143" s="64">
        <f>SUM(D$2:D143)-IF(ISERROR(SUM(D$2:D138)),0,SUM(D$2:D138))</f>
        <v>815</v>
      </c>
    </row>
    <row r="144" spans="1:7" x14ac:dyDescent="0.45">
      <c r="A144" s="62">
        <v>43998</v>
      </c>
      <c r="B144" s="74">
        <v>65301</v>
      </c>
      <c r="C144" s="74">
        <v>968</v>
      </c>
      <c r="D144" s="74">
        <v>38</v>
      </c>
      <c r="E144" s="64">
        <f>SUM(B$2:B144)-IF(ISERROR(SUM(B$2:B139)),0,SUM(B$2:B139))</f>
        <v>315928</v>
      </c>
      <c r="F144" s="64">
        <f>SUM(C$2:C144)-IF(ISERROR(SUM(C$2:C139)),0,SUM(C$2:C139))</f>
        <v>6714</v>
      </c>
      <c r="G144" s="64">
        <f>SUM(D$2:D144)-IF(ISERROR(SUM(D$2:D139)),0,SUM(D$2:D139))</f>
        <v>608</v>
      </c>
    </row>
  </sheetData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24</vt:i4>
      </vt:variant>
    </vt:vector>
  </HeadingPairs>
  <TitlesOfParts>
    <vt:vector size="26" baseType="lpstr">
      <vt:lpstr>model</vt:lpstr>
      <vt:lpstr>data</vt:lpstr>
      <vt:lpstr>model!Begin_intermediate</vt:lpstr>
      <vt:lpstr>model!Begin_lockdown</vt:lpstr>
      <vt:lpstr>current_infected</vt:lpstr>
      <vt:lpstr>model!Delay</vt:lpstr>
      <vt:lpstr>model!Desire_asy</vt:lpstr>
      <vt:lpstr>model!Desire_mild</vt:lpstr>
      <vt:lpstr>model!Desire_severe</vt:lpstr>
      <vt:lpstr>End_lockdown</vt:lpstr>
      <vt:lpstr>model!False_negative</vt:lpstr>
      <vt:lpstr>model!False_positive</vt:lpstr>
      <vt:lpstr>model!Faux_mild</vt:lpstr>
      <vt:lpstr>model!Faux_severe</vt:lpstr>
      <vt:lpstr>model!Initial_cases</vt:lpstr>
      <vt:lpstr>model!Pct_asy</vt:lpstr>
      <vt:lpstr>Pct_fatal</vt:lpstr>
      <vt:lpstr>model!Pct_mild</vt:lpstr>
      <vt:lpstr>model!Population</vt:lpstr>
      <vt:lpstr>Ro_end</vt:lpstr>
      <vt:lpstr>model!Ro_intermediate</vt:lpstr>
      <vt:lpstr>model!Ro_lockdown</vt:lpstr>
      <vt:lpstr>model!Ro_uncontrolled</vt:lpstr>
      <vt:lpstr>model!Serial</vt:lpstr>
      <vt:lpstr>Spread</vt:lpstr>
      <vt:lpstr>model!Zero_date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Matt</cp:lastModifiedBy>
  <dcterms:created xsi:type="dcterms:W3CDTF">2020-03-30T20:41:38Z</dcterms:created>
  <dcterms:modified xsi:type="dcterms:W3CDTF">2020-06-19T15:03:32Z</dcterms:modified>
</cp:coreProperties>
</file>